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10_Veröffentlichungen\02_Eigene\2024\Asami_cost_estimation_WorldPM\02_Daten\"/>
    </mc:Choice>
  </mc:AlternateContent>
  <bookViews>
    <workbookView xWindow="0" yWindow="0" windowWidth="16180" windowHeight="6310"/>
  </bookViews>
  <sheets>
    <sheet name="Input - Output" sheetId="1" r:id="rId1"/>
    <sheet name="Process parameter" sheetId="2" r:id="rId2"/>
    <sheet name="Machines" sheetId="4" r:id="rId3"/>
    <sheet name="specific Parameter" sheetId="3" r:id="rId4"/>
  </sheets>
  <externalReferences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3" l="1"/>
  <c r="C11" i="3"/>
  <c r="K86" i="4" l="1"/>
  <c r="L86" i="4"/>
  <c r="M86" i="4"/>
  <c r="N86" i="4"/>
  <c r="O86" i="4"/>
  <c r="P86" i="4"/>
  <c r="Q86" i="4"/>
  <c r="R86" i="4"/>
  <c r="S86" i="4"/>
  <c r="M70" i="4"/>
  <c r="N70" i="4"/>
  <c r="O70" i="4"/>
  <c r="P70" i="4"/>
  <c r="Q70" i="4"/>
  <c r="R70" i="4"/>
  <c r="S70" i="4"/>
  <c r="M54" i="4"/>
  <c r="N54" i="4"/>
  <c r="O54" i="4"/>
  <c r="P54" i="4"/>
  <c r="Q54" i="4"/>
  <c r="R54" i="4"/>
  <c r="S54" i="4"/>
  <c r="K35" i="4"/>
  <c r="L35" i="4"/>
  <c r="M35" i="4"/>
  <c r="N35" i="4"/>
  <c r="O35" i="4"/>
  <c r="P35" i="4"/>
  <c r="Q35" i="4"/>
  <c r="R35" i="4"/>
  <c r="S35" i="4"/>
  <c r="O20" i="4"/>
  <c r="P20" i="4"/>
  <c r="Q20" i="4"/>
  <c r="R20" i="4"/>
  <c r="S20" i="4"/>
  <c r="E16" i="3"/>
  <c r="E27" i="3" s="1"/>
  <c r="E15" i="3"/>
  <c r="E26" i="3" s="1"/>
  <c r="E13" i="3"/>
  <c r="E10" i="3"/>
  <c r="F10" i="3"/>
  <c r="E28" i="3" l="1"/>
  <c r="E29" i="3"/>
  <c r="D89" i="2" l="1"/>
  <c r="D88" i="2"/>
  <c r="D87" i="2"/>
  <c r="D86" i="2"/>
  <c r="D85" i="2"/>
  <c r="D84" i="2"/>
  <c r="D83" i="2"/>
  <c r="M4" i="3" s="1"/>
  <c r="D82" i="2"/>
  <c r="D81" i="2"/>
  <c r="D80" i="2"/>
  <c r="D79" i="2"/>
  <c r="D78" i="2"/>
  <c r="F61" i="2"/>
  <c r="F62" i="2"/>
  <c r="F63" i="2"/>
  <c r="F64" i="2"/>
  <c r="F65" i="2"/>
  <c r="F66" i="2"/>
  <c r="F67" i="2"/>
  <c r="F68" i="2"/>
  <c r="F69" i="2"/>
  <c r="F70" i="2"/>
  <c r="F71" i="2"/>
  <c r="F72" i="2"/>
  <c r="E61" i="2"/>
  <c r="E62" i="2"/>
  <c r="E63" i="2"/>
  <c r="E64" i="2"/>
  <c r="E65" i="2"/>
  <c r="E66" i="2"/>
  <c r="E67" i="2"/>
  <c r="E68" i="2"/>
  <c r="E69" i="2"/>
  <c r="E70" i="2"/>
  <c r="E71" i="2"/>
  <c r="E72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D44" i="2"/>
  <c r="D43" i="2"/>
  <c r="D42" i="2"/>
  <c r="D55" i="2"/>
  <c r="D54" i="2"/>
  <c r="D53" i="2"/>
  <c r="D52" i="2"/>
  <c r="D51" i="2"/>
  <c r="D50" i="2"/>
  <c r="D49" i="2"/>
  <c r="D48" i="2"/>
  <c r="D47" i="2"/>
  <c r="D46" i="2"/>
  <c r="D45" i="2"/>
  <c r="D41" i="2"/>
  <c r="D35" i="2"/>
  <c r="D34" i="2"/>
  <c r="D33" i="2"/>
  <c r="D32" i="2"/>
  <c r="D31" i="2"/>
  <c r="D30" i="2"/>
  <c r="D29" i="2"/>
  <c r="D28" i="2"/>
  <c r="D27" i="2"/>
  <c r="D26" i="2"/>
  <c r="D25" i="2"/>
  <c r="G5" i="2"/>
  <c r="G6" i="2"/>
  <c r="G7" i="2"/>
  <c r="G8" i="2"/>
  <c r="G9" i="2"/>
  <c r="G10" i="2"/>
  <c r="G11" i="2"/>
  <c r="F12" i="3" s="1"/>
  <c r="G12" i="2"/>
  <c r="G13" i="2"/>
  <c r="G14" i="2"/>
  <c r="G15" i="2"/>
  <c r="G16" i="2"/>
  <c r="G17" i="2"/>
  <c r="G18" i="2"/>
  <c r="G19" i="2"/>
  <c r="G20" i="2"/>
  <c r="F5" i="2"/>
  <c r="F6" i="2"/>
  <c r="F7" i="2"/>
  <c r="F8" i="2"/>
  <c r="F9" i="2"/>
  <c r="F10" i="2"/>
  <c r="F11" i="2"/>
  <c r="E12" i="3" s="1"/>
  <c r="F12" i="2"/>
  <c r="F13" i="2"/>
  <c r="F14" i="2"/>
  <c r="F15" i="2"/>
  <c r="F16" i="2"/>
  <c r="F17" i="2"/>
  <c r="F18" i="2"/>
  <c r="F19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D20" i="2"/>
  <c r="D19" i="2"/>
  <c r="D18" i="2"/>
  <c r="D17" i="2"/>
  <c r="D16" i="2"/>
  <c r="D15" i="2"/>
  <c r="D14" i="2"/>
  <c r="D13" i="2"/>
  <c r="D12" i="2"/>
  <c r="D11" i="2"/>
  <c r="C12" i="3" s="1"/>
  <c r="D10" i="2"/>
  <c r="D9" i="2"/>
  <c r="D8" i="2"/>
  <c r="D7" i="2"/>
  <c r="D6" i="2"/>
  <c r="D5" i="2"/>
  <c r="J86" i="4"/>
  <c r="D90" i="2" s="1"/>
  <c r="L70" i="4"/>
  <c r="F73" i="2" s="1"/>
  <c r="K70" i="4"/>
  <c r="J70" i="4"/>
  <c r="L54" i="4"/>
  <c r="F56" i="2" s="1"/>
  <c r="K54" i="4"/>
  <c r="J54" i="4"/>
  <c r="D56" i="2" s="1"/>
  <c r="J35" i="4"/>
  <c r="D36" i="2" s="1"/>
  <c r="N20" i="4"/>
  <c r="M20" i="4"/>
  <c r="L20" i="4"/>
  <c r="F20" i="2" s="1"/>
  <c r="K20" i="4"/>
  <c r="J20" i="4"/>
  <c r="F13" i="3"/>
  <c r="D13" i="3"/>
  <c r="D14" i="3" s="1"/>
  <c r="C13" i="3"/>
  <c r="F15" i="3"/>
  <c r="F26" i="3" s="1"/>
  <c r="F16" i="3"/>
  <c r="F27" i="3" s="1"/>
  <c r="D16" i="3"/>
  <c r="D27" i="3" s="1"/>
  <c r="C16" i="3"/>
  <c r="C27" i="3" s="1"/>
  <c r="D15" i="3"/>
  <c r="D26" i="3" s="1"/>
  <c r="C15" i="3"/>
  <c r="C26" i="3" s="1"/>
  <c r="D12" i="3"/>
  <c r="D10" i="3"/>
  <c r="C10" i="3"/>
  <c r="K18" i="1"/>
  <c r="E18" i="1"/>
  <c r="H17" i="1"/>
  <c r="E20" i="2" l="1"/>
  <c r="E73" i="2"/>
  <c r="E56" i="2"/>
  <c r="M3" i="3"/>
  <c r="M6" i="3" s="1"/>
  <c r="G3" i="3"/>
  <c r="L4" i="3"/>
  <c r="E18" i="3"/>
  <c r="H4" i="3"/>
  <c r="E14" i="3"/>
  <c r="K4" i="3"/>
  <c r="K3" i="3"/>
  <c r="L3" i="3"/>
  <c r="H3" i="3"/>
  <c r="I3" i="3"/>
  <c r="I4" i="3"/>
  <c r="D4" i="3"/>
  <c r="D3" i="3"/>
  <c r="C14" i="3"/>
  <c r="E4" i="3"/>
  <c r="F29" i="3"/>
  <c r="F18" i="3"/>
  <c r="F28" i="3"/>
  <c r="F14" i="3"/>
  <c r="F20" i="3" s="1"/>
  <c r="D28" i="3"/>
  <c r="D18" i="3"/>
  <c r="C18" i="3"/>
  <c r="C29" i="3"/>
  <c r="C28" i="3"/>
  <c r="D29" i="3"/>
  <c r="E5" i="3"/>
  <c r="E3" i="3"/>
  <c r="H6" i="3" l="1"/>
  <c r="E22" i="3" s="1"/>
  <c r="J4" i="3"/>
  <c r="C3" i="3"/>
  <c r="I6" i="3"/>
  <c r="G4" i="3"/>
  <c r="G5" i="3" s="1"/>
  <c r="G6" i="3" s="1"/>
  <c r="C22" i="3" s="1"/>
  <c r="C4" i="3"/>
  <c r="D6" i="3"/>
  <c r="D20" i="3" s="1"/>
  <c r="J3" i="3"/>
  <c r="L6" i="3"/>
  <c r="F23" i="3" s="1"/>
  <c r="D24" i="3"/>
  <c r="K6" i="3"/>
  <c r="E23" i="3" s="1"/>
  <c r="E6" i="3"/>
  <c r="J6" i="3" l="1"/>
  <c r="C23" i="3" s="1"/>
  <c r="C6" i="3"/>
  <c r="C20" i="3" s="1"/>
  <c r="E21" i="3"/>
  <c r="E20" i="3"/>
  <c r="E32" i="3"/>
  <c r="F32" i="3"/>
  <c r="F31" i="3"/>
  <c r="F22" i="3"/>
  <c r="E31" i="3"/>
  <c r="D32" i="3"/>
  <c r="D31" i="3"/>
  <c r="D33" i="3" l="1"/>
  <c r="D37" i="3" s="1"/>
  <c r="D42" i="3" s="1"/>
  <c r="D43" i="3" s="1"/>
  <c r="D44" i="3" s="1"/>
  <c r="H25" i="1" s="1"/>
  <c r="C31" i="3"/>
  <c r="C32" i="3"/>
  <c r="E34" i="3"/>
  <c r="E38" i="3" s="1"/>
  <c r="E40" i="3" s="1"/>
  <c r="E33" i="3"/>
  <c r="E37" i="3" s="1"/>
  <c r="D34" i="3"/>
  <c r="D38" i="3" s="1"/>
  <c r="D40" i="3" s="1"/>
  <c r="F34" i="3"/>
  <c r="F38" i="3" s="1"/>
  <c r="F40" i="3" s="1"/>
  <c r="F33" i="3"/>
  <c r="F37" i="3" s="1"/>
  <c r="N22" i="1" l="1"/>
  <c r="H14" i="1"/>
  <c r="J23" i="1"/>
  <c r="H22" i="1"/>
  <c r="H19" i="1"/>
  <c r="H20" i="1"/>
  <c r="J21" i="1"/>
  <c r="H21" i="1"/>
  <c r="H18" i="1"/>
  <c r="D39" i="3"/>
  <c r="H23" i="1" s="1"/>
  <c r="H24" i="1"/>
  <c r="C34" i="3"/>
  <c r="C38" i="3" s="1"/>
  <c r="C40" i="3" s="1"/>
  <c r="C33" i="3"/>
  <c r="C37" i="3" s="1"/>
  <c r="K21" i="1"/>
  <c r="E39" i="3"/>
  <c r="K23" i="1" s="1"/>
  <c r="E42" i="3"/>
  <c r="E43" i="3" s="1"/>
  <c r="E44" i="3" s="1"/>
  <c r="K25" i="1" s="1"/>
  <c r="J20" i="1"/>
  <c r="J22" i="1"/>
  <c r="N21" i="1"/>
  <c r="N20" i="1"/>
  <c r="P23" i="1"/>
  <c r="P22" i="1"/>
  <c r="N16" i="1"/>
  <c r="P20" i="1"/>
  <c r="N14" i="1"/>
  <c r="N19" i="1"/>
  <c r="N17" i="1"/>
  <c r="P21" i="1"/>
  <c r="F39" i="3"/>
  <c r="N23" i="1" s="1"/>
  <c r="F42" i="3"/>
  <c r="F43" i="3" s="1"/>
  <c r="F44" i="3" s="1"/>
  <c r="N25" i="1" s="1"/>
  <c r="K14" i="1"/>
  <c r="K15" i="1"/>
  <c r="K22" i="1"/>
  <c r="M20" i="1"/>
  <c r="M22" i="1"/>
  <c r="K17" i="1"/>
  <c r="M21" i="1"/>
  <c r="K16" i="1"/>
  <c r="K20" i="1"/>
  <c r="M23" i="1"/>
  <c r="K19" i="1"/>
  <c r="G23" i="1" l="1"/>
  <c r="E14" i="1"/>
  <c r="E16" i="1"/>
  <c r="E20" i="1"/>
  <c r="G21" i="1"/>
  <c r="E19" i="1"/>
  <c r="E17" i="1"/>
  <c r="E22" i="1"/>
  <c r="E21" i="1"/>
  <c r="C42" i="3"/>
  <c r="C43" i="3" s="1"/>
  <c r="C44" i="3" s="1"/>
  <c r="E25" i="1" s="1"/>
  <c r="G20" i="1"/>
  <c r="C39" i="3"/>
  <c r="E23" i="1" s="1"/>
  <c r="G22" i="1"/>
  <c r="N24" i="1"/>
  <c r="K24" i="1"/>
  <c r="E24" i="1" l="1"/>
</calcChain>
</file>

<file path=xl/sharedStrings.xml><?xml version="1.0" encoding="utf-8"?>
<sst xmlns="http://schemas.openxmlformats.org/spreadsheetml/2006/main" count="572" uniqueCount="128">
  <si>
    <t>MEX/M</t>
  </si>
  <si>
    <t>PBF-LB/M</t>
  </si>
  <si>
    <t>BJT/M</t>
  </si>
  <si>
    <t>Material</t>
  </si>
  <si>
    <t>Breite</t>
  </si>
  <si>
    <t>mm</t>
  </si>
  <si>
    <t>€</t>
  </si>
  <si>
    <t>h</t>
  </si>
  <si>
    <t>cm³/h</t>
  </si>
  <si>
    <t>cm³</t>
  </si>
  <si>
    <t>Sintern</t>
  </si>
  <si>
    <t>%</t>
  </si>
  <si>
    <t>Markforged Wash-1</t>
  </si>
  <si>
    <t>€/h</t>
  </si>
  <si>
    <t>-</t>
  </si>
  <si>
    <t>DM P2500</t>
  </si>
  <si>
    <t>Metal X</t>
  </si>
  <si>
    <t>SLM280</t>
  </si>
  <si>
    <t>Ti6Al4V</t>
  </si>
  <si>
    <t>17-4 PH</t>
  </si>
  <si>
    <t xml:space="preserve">AlSi10Mg  </t>
  </si>
  <si>
    <t>Loctite® 3DP Instant Bonder</t>
  </si>
  <si>
    <t>VHT 25/16‑MO</t>
  </si>
  <si>
    <t>±</t>
  </si>
  <si>
    <t>NA 120/45</t>
  </si>
  <si>
    <t>NR 25/11</t>
  </si>
  <si>
    <t xml:space="preserve">TR60/LS </t>
  </si>
  <si>
    <t>Curing/Trocknen</t>
  </si>
  <si>
    <t>Wärmenachbehandlung</t>
  </si>
  <si>
    <t>Entbinderung</t>
  </si>
  <si>
    <t>Markforged – Sinter-2</t>
  </si>
  <si>
    <t>Inconel</t>
  </si>
  <si>
    <t>Binder</t>
  </si>
  <si>
    <t>MIM</t>
  </si>
  <si>
    <t>Input:</t>
  </si>
  <si>
    <t>Volume</t>
  </si>
  <si>
    <t>Length</t>
  </si>
  <si>
    <t>Width</t>
  </si>
  <si>
    <t>Height</t>
  </si>
  <si>
    <t>Quantity</t>
  </si>
  <si>
    <t>Post-Processing Factor</t>
  </si>
  <si>
    <t>Conventional costs</t>
  </si>
  <si>
    <t>Shaping</t>
  </si>
  <si>
    <t>Curing/Drying</t>
  </si>
  <si>
    <t>Debinding</t>
  </si>
  <si>
    <t>Sintering</t>
  </si>
  <si>
    <t>Heat treatment</t>
  </si>
  <si>
    <t>Material costs</t>
  </si>
  <si>
    <t>Overheads</t>
  </si>
  <si>
    <t>Post-processing costs</t>
  </si>
  <si>
    <t>Total costs</t>
  </si>
  <si>
    <t>Unit costs</t>
  </si>
  <si>
    <t>Necessary 
weight saving</t>
  </si>
  <si>
    <t>Comments</t>
  </si>
  <si>
    <t>No post-processing necessary</t>
  </si>
  <si>
    <t>Low post-processing effort</t>
  </si>
  <si>
    <t>Medium post-processing effort</t>
  </si>
  <si>
    <t>Large post-processing effort</t>
  </si>
  <si>
    <t>316L</t>
  </si>
  <si>
    <t>Output:</t>
  </si>
  <si>
    <t>Machines</t>
  </si>
  <si>
    <t>Curing BJT/M</t>
  </si>
  <si>
    <t>Wärmenachbehandlung PBF-LB/M</t>
  </si>
  <si>
    <t>One Click Metal</t>
  </si>
  <si>
    <t>Renkforce RF2000</t>
  </si>
  <si>
    <t>Aim3D</t>
  </si>
  <si>
    <t>Shaping MEX/M</t>
  </si>
  <si>
    <t>Shaping PBF-LB/M</t>
  </si>
  <si>
    <t>Shaping BJT/M</t>
  </si>
  <si>
    <t>Shaping MIM</t>
  </si>
  <si>
    <t>Arburg Allrounder 470 S</t>
  </si>
  <si>
    <t>Machine costs</t>
  </si>
  <si>
    <t>Post-Processing</t>
  </si>
  <si>
    <t>specific density</t>
  </si>
  <si>
    <t>scaling factor</t>
  </si>
  <si>
    <t>price</t>
  </si>
  <si>
    <t>print velocity</t>
  </si>
  <si>
    <t>print duration</t>
  </si>
  <si>
    <t>Post-processing effort lower limit</t>
  </si>
  <si>
    <t>Post-processing effort high limit</t>
  </si>
  <si>
    <t>Process parameter</t>
  </si>
  <si>
    <t>Post-processing effort average</t>
  </si>
  <si>
    <t>Overheads lower limit</t>
  </si>
  <si>
    <t>Overheads higher limit</t>
  </si>
  <si>
    <t>Average Overheads</t>
  </si>
  <si>
    <t>Range limit</t>
  </si>
  <si>
    <t>sum</t>
  </si>
  <si>
    <t>sum range</t>
  </si>
  <si>
    <t>quantity</t>
  </si>
  <si>
    <t>range quantity</t>
  </si>
  <si>
    <t>difference to conventional costs</t>
  </si>
  <si>
    <t>necessary total weight reduction</t>
  </si>
  <si>
    <t>necessary relativ weight reduction</t>
  </si>
  <si>
    <t>Sintering MEX/M</t>
  </si>
  <si>
    <t>Sintering BJT/M</t>
  </si>
  <si>
    <t>Sintering MIM</t>
  </si>
  <si>
    <t>Debinding MEX/M</t>
  </si>
  <si>
    <t>Debinding BJT/M</t>
  </si>
  <si>
    <t>Debinding MIM</t>
  </si>
  <si>
    <t>Material:</t>
  </si>
  <si>
    <t>Density [g/(cm³)]</t>
  </si>
  <si>
    <t>Price [€/kg]</t>
  </si>
  <si>
    <t>Print velocity [cm³/h]</t>
  </si>
  <si>
    <t>lower limit</t>
  </si>
  <si>
    <t>Level</t>
  </si>
  <si>
    <t>Hourly rate</t>
  </si>
  <si>
    <t>VHT 25/16‑MO-1</t>
  </si>
  <si>
    <t>NA 120/45-1</t>
  </si>
  <si>
    <t>Metals</t>
  </si>
  <si>
    <t>Overheads low limit</t>
  </si>
  <si>
    <t>Overheads high limit</t>
  </si>
  <si>
    <t>high limit</t>
  </si>
  <si>
    <t>Acquisition costs</t>
  </si>
  <si>
    <t>Amortization period</t>
  </si>
  <si>
    <t>year</t>
  </si>
  <si>
    <t>y</t>
  </si>
  <si>
    <t>Annual capacity utilization</t>
  </si>
  <si>
    <t>Treatment time</t>
  </si>
  <si>
    <t>Batch distance</t>
  </si>
  <si>
    <t>Set-up time</t>
  </si>
  <si>
    <t>Binder content</t>
  </si>
  <si>
    <t>Packing density</t>
  </si>
  <si>
    <t>Material loss</t>
  </si>
  <si>
    <t>Form costs</t>
  </si>
  <si>
    <t>Treatment duration</t>
  </si>
  <si>
    <t>Construction space</t>
  </si>
  <si>
    <t>Productivity</t>
  </si>
  <si>
    <t>Process 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</si>
</sst>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D8D9D7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7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DC6D6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D8D9D7"/>
        <bgColor indexed="64"/>
      </patternFill>
    </fill>
    <fill>
      <patternFill patternType="solid">
        <fgColor theme="1" tint="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0" xfId="0" applyAlignment="1">
      <alignment textRotation="90"/>
    </xf>
    <xf numFmtId="0" fontId="0" fillId="0" borderId="0" xfId="0" applyAlignment="1">
      <alignment horizontal="center"/>
    </xf>
    <xf numFmtId="0" fontId="0" fillId="0" borderId="0" xfId="0" applyAlignment="1">
      <alignment vertical="center" textRotation="90" wrapText="1"/>
    </xf>
    <xf numFmtId="1" fontId="3" fillId="2" borderId="3" xfId="0" applyNumberFormat="1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center"/>
    </xf>
    <xf numFmtId="1" fontId="3" fillId="2" borderId="6" xfId="0" applyNumberFormat="1" applyFont="1" applyFill="1" applyBorder="1" applyAlignment="1">
      <alignment horizontal="center"/>
    </xf>
    <xf numFmtId="1" fontId="3" fillId="2" borderId="5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0" fillId="2" borderId="0" xfId="0" applyFill="1"/>
    <xf numFmtId="0" fontId="0" fillId="0" borderId="1" xfId="0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3" xfId="0" applyFont="1" applyFill="1" applyBorder="1"/>
    <xf numFmtId="0" fontId="6" fillId="3" borderId="6" xfId="0" applyFont="1" applyFill="1" applyBorder="1"/>
    <xf numFmtId="0" fontId="6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5" xfId="0" applyFont="1" applyFill="1" applyBorder="1"/>
    <xf numFmtId="0" fontId="6" fillId="4" borderId="4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3" borderId="0" xfId="0" applyFont="1" applyFill="1"/>
    <xf numFmtId="0" fontId="6" fillId="3" borderId="0" xfId="0" applyFont="1" applyFill="1" applyAlignment="1">
      <alignment horizontal="center"/>
    </xf>
    <xf numFmtId="0" fontId="5" fillId="3" borderId="9" xfId="0" applyFont="1" applyFill="1" applyBorder="1"/>
    <xf numFmtId="0" fontId="5" fillId="3" borderId="5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0" fontId="6" fillId="3" borderId="0" xfId="0" applyFont="1" applyFill="1" applyAlignment="1">
      <alignment wrapText="1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8" fillId="2" borderId="0" xfId="0" applyFont="1" applyFill="1"/>
    <xf numFmtId="0" fontId="0" fillId="4" borderId="0" xfId="0" applyFill="1"/>
    <xf numFmtId="0" fontId="0" fillId="3" borderId="0" xfId="0" applyFill="1"/>
    <xf numFmtId="0" fontId="6" fillId="3" borderId="0" xfId="0" applyFont="1" applyFill="1" applyAlignment="1">
      <alignment horizontal="center"/>
    </xf>
    <xf numFmtId="0" fontId="2" fillId="2" borderId="1" xfId="0" applyFont="1" applyFill="1" applyBorder="1"/>
    <xf numFmtId="0" fontId="6" fillId="4" borderId="0" xfId="0" applyFont="1" applyFill="1" applyBorder="1"/>
    <xf numFmtId="0" fontId="6" fillId="4" borderId="1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5" fillId="4" borderId="24" xfId="0" applyFont="1" applyFill="1" applyBorder="1" applyAlignment="1"/>
    <xf numFmtId="0" fontId="5" fillId="4" borderId="8" xfId="0" applyFont="1" applyFill="1" applyBorder="1" applyAlignment="1">
      <alignment horizontal="center"/>
    </xf>
    <xf numFmtId="0" fontId="6" fillId="2" borderId="0" xfId="0" applyFont="1" applyFill="1"/>
    <xf numFmtId="0" fontId="0" fillId="2" borderId="0" xfId="0" applyFill="1" applyAlignment="1">
      <alignment horizontal="left"/>
    </xf>
    <xf numFmtId="0" fontId="6" fillId="4" borderId="0" xfId="0" applyFont="1" applyFill="1" applyBorder="1" applyAlignment="1">
      <alignment horizontal="left" vertical="center" wrapText="1"/>
    </xf>
    <xf numFmtId="0" fontId="6" fillId="4" borderId="0" xfId="0" applyFont="1" applyFill="1" applyBorder="1" applyAlignment="1">
      <alignment horizontal="left" wrapText="1"/>
    </xf>
    <xf numFmtId="0" fontId="6" fillId="4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0" borderId="0" xfId="0" applyFont="1"/>
    <xf numFmtId="0" fontId="5" fillId="4" borderId="20" xfId="0" applyFont="1" applyFill="1" applyBorder="1" applyAlignment="1"/>
    <xf numFmtId="0" fontId="5" fillId="4" borderId="7" xfId="0" applyFont="1" applyFill="1" applyBorder="1" applyAlignment="1"/>
    <xf numFmtId="0" fontId="5" fillId="3" borderId="0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7" xfId="0" applyFont="1" applyFill="1" applyBorder="1"/>
    <xf numFmtId="0" fontId="5" fillId="3" borderId="8" xfId="0" applyFont="1" applyFill="1" applyBorder="1" applyAlignment="1">
      <alignment horizontal="center" vertical="center"/>
    </xf>
    <xf numFmtId="1" fontId="3" fillId="2" borderId="19" xfId="0" applyNumberFormat="1" applyFont="1" applyFill="1" applyBorder="1" applyAlignment="1">
      <alignment horizontal="center"/>
    </xf>
    <xf numFmtId="0" fontId="3" fillId="0" borderId="18" xfId="0" applyFont="1" applyBorder="1"/>
    <xf numFmtId="1" fontId="3" fillId="2" borderId="18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5" fillId="3" borderId="21" xfId="0" applyFont="1" applyFill="1" applyBorder="1"/>
    <xf numFmtId="0" fontId="5" fillId="3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4" borderId="6" xfId="0" applyFont="1" applyFill="1" applyBorder="1"/>
    <xf numFmtId="0" fontId="5" fillId="3" borderId="1" xfId="0" applyFont="1" applyFill="1" applyBorder="1"/>
    <xf numFmtId="0" fontId="3" fillId="2" borderId="0" xfId="0" applyFont="1" applyFill="1" applyBorder="1" applyAlignment="1">
      <alignment horizontal="center"/>
    </xf>
    <xf numFmtId="0" fontId="5" fillId="4" borderId="3" xfId="0" applyFont="1" applyFill="1" applyBorder="1"/>
    <xf numFmtId="0" fontId="11" fillId="6" borderId="1" xfId="0" applyFont="1" applyFill="1" applyBorder="1" applyAlignment="1">
      <alignment horizontal="center"/>
    </xf>
    <xf numFmtId="0" fontId="5" fillId="3" borderId="6" xfId="0" applyFont="1" applyFill="1" applyBorder="1"/>
    <xf numFmtId="0" fontId="5" fillId="3" borderId="3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2" borderId="0" xfId="0" applyFont="1" applyFill="1" applyBorder="1"/>
    <xf numFmtId="0" fontId="5" fillId="4" borderId="13" xfId="0" applyFont="1" applyFill="1" applyBorder="1"/>
    <xf numFmtId="0" fontId="2" fillId="2" borderId="1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left"/>
    </xf>
    <xf numFmtId="0" fontId="0" fillId="2" borderId="1" xfId="0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quotePrefix="1" applyFill="1" applyBorder="1" applyAlignment="1" applyProtection="1">
      <alignment horizontal="center"/>
      <protection locked="0"/>
    </xf>
    <xf numFmtId="0" fontId="6" fillId="4" borderId="14" xfId="0" applyFont="1" applyFill="1" applyBorder="1" applyAlignment="1" applyProtection="1">
      <alignment horizontal="center" vertical="center"/>
      <protection locked="0"/>
    </xf>
    <xf numFmtId="0" fontId="6" fillId="4" borderId="15" xfId="0" applyFont="1" applyFill="1" applyBorder="1" applyAlignment="1" applyProtection="1">
      <alignment horizontal="center" vertical="center"/>
      <protection locked="0"/>
    </xf>
    <xf numFmtId="0" fontId="6" fillId="4" borderId="0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6" fillId="4" borderId="2" xfId="0" applyFont="1" applyFill="1" applyBorder="1" applyAlignment="1" applyProtection="1">
      <alignment horizontal="center"/>
      <protection locked="0"/>
    </xf>
    <xf numFmtId="0" fontId="6" fillId="4" borderId="0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6" fillId="4" borderId="2" xfId="0" applyFont="1" applyFill="1" applyBorder="1" applyAlignment="1" applyProtection="1">
      <alignment horizontal="center" wrapText="1"/>
      <protection locked="0"/>
    </xf>
    <xf numFmtId="0" fontId="5" fillId="4" borderId="13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1" fontId="3" fillId="2" borderId="16" xfId="0" applyNumberFormat="1" applyFont="1" applyFill="1" applyBorder="1" applyAlignment="1">
      <alignment horizontal="center"/>
    </xf>
    <xf numFmtId="1" fontId="3" fillId="5" borderId="6" xfId="0" applyNumberFormat="1" applyFont="1" applyFill="1" applyBorder="1" applyAlignment="1">
      <alignment horizontal="center" vertical="center"/>
    </xf>
    <xf numFmtId="1" fontId="3" fillId="5" borderId="5" xfId="0" applyNumberFormat="1" applyFont="1" applyFill="1" applyBorder="1" applyAlignment="1">
      <alignment horizontal="center" vertical="center"/>
    </xf>
    <xf numFmtId="1" fontId="3" fillId="5" borderId="4" xfId="0" applyNumberFormat="1" applyFont="1" applyFill="1" applyBorder="1" applyAlignment="1">
      <alignment horizontal="center" vertical="center"/>
    </xf>
    <xf numFmtId="1" fontId="3" fillId="5" borderId="11" xfId="0" applyNumberFormat="1" applyFont="1" applyFill="1" applyBorder="1" applyAlignment="1">
      <alignment horizontal="center" vertical="center"/>
    </xf>
    <xf numFmtId="1" fontId="3" fillId="5" borderId="12" xfId="0" applyNumberFormat="1" applyFont="1" applyFill="1" applyBorder="1" applyAlignment="1">
      <alignment horizontal="center" vertical="center"/>
    </xf>
    <xf numFmtId="1" fontId="3" fillId="5" borderId="10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/>
    </xf>
    <xf numFmtId="1" fontId="3" fillId="2" borderId="5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" fontId="3" fillId="2" borderId="11" xfId="0" applyNumberFormat="1" applyFont="1" applyFill="1" applyBorder="1" applyAlignment="1">
      <alignment horizontal="center"/>
    </xf>
    <xf numFmtId="1" fontId="3" fillId="2" borderId="12" xfId="0" applyNumberFormat="1" applyFont="1" applyFill="1" applyBorder="1" applyAlignment="1">
      <alignment horizontal="center"/>
    </xf>
    <xf numFmtId="1" fontId="3" fillId="2" borderId="10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5" fillId="4" borderId="11" xfId="0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/>
    </xf>
    <xf numFmtId="1" fontId="3" fillId="2" borderId="19" xfId="0" applyNumberFormat="1" applyFont="1" applyFill="1" applyBorder="1" applyAlignment="1">
      <alignment horizontal="center"/>
    </xf>
    <xf numFmtId="1" fontId="3" fillId="2" borderId="18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vertical="center" textRotation="90" wrapText="1"/>
    </xf>
    <xf numFmtId="0" fontId="10" fillId="4" borderId="3" xfId="0" applyFont="1" applyFill="1" applyBorder="1" applyAlignment="1">
      <alignment horizontal="center" vertical="center" textRotation="90"/>
    </xf>
    <xf numFmtId="0" fontId="10" fillId="4" borderId="20" xfId="0" applyFont="1" applyFill="1" applyBorder="1" applyAlignment="1">
      <alignment horizontal="center" vertical="center" textRotation="90"/>
    </xf>
    <xf numFmtId="0" fontId="6" fillId="4" borderId="6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 textRotation="90"/>
    </xf>
    <xf numFmtId="0" fontId="5" fillId="3" borderId="0" xfId="0" applyFont="1" applyFill="1" applyAlignment="1">
      <alignment horizontal="center" vertical="center" textRotation="90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 textRotation="90"/>
    </xf>
    <xf numFmtId="0" fontId="6" fillId="4" borderId="0" xfId="0" applyFont="1" applyFill="1" applyAlignment="1">
      <alignment horizontal="center" vertical="center" textRotation="90" wrapText="1"/>
    </xf>
    <xf numFmtId="0" fontId="9" fillId="4" borderId="0" xfId="0" applyFont="1" applyFill="1" applyAlignment="1">
      <alignment horizontal="center" textRotation="90"/>
    </xf>
  </cellXfs>
  <cellStyles count="1">
    <cellStyle name="Standard" xfId="0" builtinId="0"/>
  </cellStyles>
  <dxfs count="48"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0099"/>
        </patternFill>
      </fill>
      <alignment horizontal="left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0099"/>
        </patternFill>
      </fill>
      <alignment horizontal="left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0099"/>
        </patternFill>
      </fill>
      <alignment horizontal="left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0099"/>
        </patternFill>
      </fill>
      <alignment horizontal="left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0099"/>
        </patternFill>
      </fill>
      <alignment horizontal="left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0099"/>
        </patternFill>
      </fill>
      <alignment horizontal="left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0099"/>
        </patternFill>
      </fill>
      <alignment horizontal="left" vertical="bottom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0099"/>
        </patternFill>
      </fill>
      <alignment horizontal="left" vertical="bottom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0099"/>
        </patternFill>
      </fill>
      <alignment horizontal="left" vertical="bottom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0099"/>
        </patternFill>
      </fill>
      <alignment horizontal="left" vertical="bottom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0099"/>
        </patternFill>
      </fill>
      <alignment horizontal="left" vertical="bottom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0099"/>
        </patternFill>
      </fill>
      <alignment horizontal="left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000099"/>
      <color rgb="FF2DC6D6"/>
      <color rgb="FFD8D9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rim%20Asami\Downloads\240524_Kostenberechnungstoo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nAusgabe"/>
      <sheetName val="Prozessparameter"/>
      <sheetName val="spezParameter"/>
    </sheetNames>
    <sheetDataSet>
      <sheetData sheetId="0">
        <row r="5">
          <cell r="E5">
            <v>74</v>
          </cell>
        </row>
        <row r="8">
          <cell r="E8">
            <v>100</v>
          </cell>
        </row>
      </sheetData>
      <sheetData sheetId="1">
        <row r="45">
          <cell r="E45">
            <v>450</v>
          </cell>
        </row>
        <row r="46">
          <cell r="E46">
            <v>20</v>
          </cell>
        </row>
      </sheetData>
      <sheetData sheetId="2"/>
    </sheetDataSet>
  </externalBook>
</externalLink>
</file>

<file path=xl/tables/table1.xml><?xml version="1.0" encoding="utf-8"?>
<table xmlns="http://schemas.openxmlformats.org/spreadsheetml/2006/main" id="14" name="Entb_MEX" displayName="Entb_MEX" ref="B39:B41" totalsRowShown="0" headerRowDxfId="47" dataDxfId="46" tableBorderDxfId="45">
  <autoFilter ref="B39:B41"/>
  <tableColumns count="1">
    <tableColumn id="1" name="Debinding MEX/M" dataDxfId="4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34" name="Tabelle34" displayName="Tabelle34" ref="B5:B7" totalsRowShown="0" headerRowDxfId="11" dataDxfId="10" tableBorderDxfId="9">
  <autoFilter ref="B5:B7"/>
  <tableColumns count="1">
    <tableColumn id="1" name="Shaping MEX/M" dataDxfId="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35" name="Tabelle35" displayName="Tabelle35" ref="C74:C75" totalsRowShown="0" headerRowDxfId="7" dataDxfId="6" tableBorderDxfId="5">
  <autoFilter ref="C74:C75"/>
  <tableColumns count="1">
    <tableColumn id="1" name="Wärmenachbehandlung PBF-LB/M" dataDxfId="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36" name="Curing_BJT" displayName="Curing_BJT" ref="D24:D25" totalsRowShown="0" headerRowDxfId="3" dataDxfId="2" tableBorderDxfId="1">
  <autoFilter ref="D24:D25"/>
  <tableColumns count="1">
    <tableColumn id="1" name="Curing BJT/M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Sint_Mex" displayName="Sint_Mex" ref="B58:B60" totalsRowShown="0" headerRowDxfId="43" dataDxfId="42" tableBorderDxfId="41">
  <autoFilter ref="B58:B60"/>
  <tableColumns count="1">
    <tableColumn id="1" name="Sintering MEX/M" dataDxfId="4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8" name="Entb_BJT" displayName="Entb_BJT" ref="D39:D40" totalsRowShown="0" headerRowDxfId="39" dataDxfId="38" tableBorderDxfId="37">
  <autoFilter ref="D39:D40"/>
  <tableColumns count="1">
    <tableColumn id="1" name="Debinding BJT/M" dataDxfId="3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19" name="Entb_MIM" displayName="Entb_MIM" ref="E39:E40" totalsRowShown="0" headerRowDxfId="35" dataDxfId="34" tableBorderDxfId="33">
  <autoFilter ref="E39:E40"/>
  <tableColumns count="1">
    <tableColumn id="1" name="Debinding MIM" dataDxfId="3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21" name="Sint_BJT" displayName="Sint_BJT" ref="D58:D59" totalsRowShown="0" headerRowDxfId="31" dataDxfId="30" tableBorderDxfId="29">
  <autoFilter ref="D58:D59"/>
  <tableColumns count="1">
    <tableColumn id="1" name="Sintering BJT/M" dataDxfId="2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22" name="Sint_MIM" displayName="Sint_MIM" ref="E58:E59" totalsRowShown="0" headerRowDxfId="27" dataDxfId="26" tableBorderDxfId="25">
  <autoFilter ref="E58:E59"/>
  <tableColumns count="1">
    <tableColumn id="1" name="Sintering MIM" dataDxfId="2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29" name="Form_MIM" displayName="Form_MIM" ref="E5:E6" totalsRowShown="0" headerRowDxfId="23" dataDxfId="22" tableBorderDxfId="21">
  <autoFilter ref="E5:E6"/>
  <tableColumns count="1">
    <tableColumn id="1" name="Shaping MIM" dataDxfId="2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30" name="Form_BJT" displayName="Form_BJT" ref="D5:D6" totalsRowShown="0" headerRowDxfId="19" dataDxfId="18" tableBorderDxfId="17">
  <autoFilter ref="D5:D6"/>
  <tableColumns count="1">
    <tableColumn id="1" name="Shaping BJT/M" dataDxfId="1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31" name="Form_PBF" displayName="Form_PBF" ref="C5:C7" totalsRowShown="0" headerRowDxfId="15" dataDxfId="14" tableBorderDxfId="13">
  <autoFilter ref="C5:C7"/>
  <tableColumns count="1">
    <tableColumn id="1" name="Shaping PBF-LB/M" dataDxfId="1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"/>
  <sheetViews>
    <sheetView tabSelected="1" zoomScale="130" zoomScaleNormal="130" workbookViewId="0">
      <selection activeCell="U4" sqref="U4"/>
    </sheetView>
  </sheetViews>
  <sheetFormatPr baseColWidth="10" defaultColWidth="0" defaultRowHeight="14.5" zeroHeight="1" x14ac:dyDescent="0.35"/>
  <cols>
    <col min="1" max="1" width="2.453125" style="62" customWidth="1"/>
    <col min="2" max="2" width="3.1796875" style="62" customWidth="1"/>
    <col min="3" max="3" width="20.81640625" style="62" customWidth="1"/>
    <col min="4" max="4" width="4" style="75" customWidth="1"/>
    <col min="5" max="5" width="8.7265625" style="62" customWidth="1"/>
    <col min="6" max="6" width="1.54296875" style="62" customWidth="1"/>
    <col min="7" max="7" width="11.26953125" style="62" customWidth="1"/>
    <col min="8" max="8" width="8.7265625" style="62" customWidth="1"/>
    <col min="9" max="9" width="1.54296875" style="62" customWidth="1"/>
    <col min="10" max="10" width="11.7265625" style="62" customWidth="1"/>
    <col min="11" max="11" width="8.7265625" style="62" customWidth="1"/>
    <col min="12" max="12" width="1.54296875" style="62" customWidth="1"/>
    <col min="13" max="13" width="11.81640625" style="62" customWidth="1"/>
    <col min="14" max="14" width="8.7265625" style="62" customWidth="1"/>
    <col min="15" max="15" width="1.54296875" style="62" customWidth="1"/>
    <col min="16" max="16" width="11.7265625" style="62" customWidth="1"/>
    <col min="17" max="17" width="2.81640625" style="62" customWidth="1"/>
    <col min="18" max="18" width="15.453125" style="62" customWidth="1"/>
    <col min="19" max="22" width="20.7265625" style="62" customWidth="1"/>
    <col min="23" max="23" width="2.7265625" style="60" customWidth="1"/>
    <col min="24" max="24" width="5.54296875" style="60" customWidth="1"/>
    <col min="25" max="26" width="8.7265625" style="60" hidden="1" customWidth="1"/>
    <col min="27" max="28" width="10.81640625" style="62" hidden="1" customWidth="1"/>
    <col min="29" max="29" width="10.81640625" style="60" hidden="1" customWidth="1"/>
    <col min="30" max="31" width="0" style="62" hidden="1" customWidth="1"/>
    <col min="32" max="16384" width="10.81640625" style="62" hidden="1"/>
  </cols>
  <sheetData>
    <row r="1" spans="1:27" s="60" customFormat="1" x14ac:dyDescent="0.35">
      <c r="B1" s="88"/>
      <c r="C1" s="88"/>
      <c r="D1" s="59"/>
      <c r="E1" s="78"/>
    </row>
    <row r="2" spans="1:27" x14ac:dyDescent="0.35">
      <c r="A2" s="60"/>
      <c r="B2" s="89"/>
      <c r="C2" s="127" t="s">
        <v>34</v>
      </c>
      <c r="D2" s="127"/>
      <c r="E2" s="128"/>
      <c r="F2" s="60"/>
      <c r="G2" s="60"/>
      <c r="H2" s="132" t="s">
        <v>40</v>
      </c>
      <c r="I2" s="127"/>
      <c r="J2" s="127"/>
      <c r="K2" s="127"/>
      <c r="L2" s="127"/>
      <c r="M2" s="128"/>
      <c r="N2" s="94"/>
      <c r="O2" s="84"/>
      <c r="P2" s="84"/>
      <c r="Q2" s="60"/>
      <c r="R2" s="109" t="s">
        <v>60</v>
      </c>
      <c r="S2" s="110"/>
      <c r="T2" s="110"/>
      <c r="U2" s="110"/>
      <c r="V2" s="111"/>
      <c r="AA2" s="60"/>
    </row>
    <row r="3" spans="1:27" ht="15" thickBot="1" x14ac:dyDescent="0.4">
      <c r="A3" s="60"/>
      <c r="B3" s="79"/>
      <c r="C3" s="77" t="s">
        <v>35</v>
      </c>
      <c r="D3" s="66" t="s">
        <v>9</v>
      </c>
      <c r="E3" s="93">
        <v>25</v>
      </c>
      <c r="F3" s="60"/>
      <c r="G3" s="60"/>
      <c r="H3" s="83">
        <v>0</v>
      </c>
      <c r="I3" s="85" t="s">
        <v>54</v>
      </c>
      <c r="J3" s="86"/>
      <c r="K3" s="86"/>
      <c r="L3" s="86"/>
      <c r="M3" s="87"/>
      <c r="N3" s="84"/>
      <c r="O3" s="84"/>
      <c r="P3" s="84"/>
      <c r="Q3" s="60"/>
      <c r="R3" s="52"/>
      <c r="S3" s="53" t="s">
        <v>0</v>
      </c>
      <c r="T3" s="53" t="s">
        <v>1</v>
      </c>
      <c r="U3" s="53" t="s">
        <v>2</v>
      </c>
      <c r="V3" s="53" t="s">
        <v>33</v>
      </c>
      <c r="AA3" s="60"/>
    </row>
    <row r="4" spans="1:27" ht="15" thickTop="1" x14ac:dyDescent="0.35">
      <c r="A4" s="78"/>
      <c r="B4" s="79"/>
      <c r="C4" s="77" t="s">
        <v>36</v>
      </c>
      <c r="D4" s="66" t="s">
        <v>5</v>
      </c>
      <c r="E4" s="93">
        <v>75</v>
      </c>
      <c r="F4" s="60"/>
      <c r="G4" s="60"/>
      <c r="H4" s="83">
        <v>1</v>
      </c>
      <c r="I4" s="85" t="s">
        <v>55</v>
      </c>
      <c r="J4" s="86"/>
      <c r="K4" s="86"/>
      <c r="L4" s="86"/>
      <c r="M4" s="87"/>
      <c r="N4" s="84"/>
      <c r="O4" s="84"/>
      <c r="P4" s="84"/>
      <c r="Q4" s="60"/>
      <c r="R4" s="82" t="s">
        <v>42</v>
      </c>
      <c r="S4" s="90" t="s">
        <v>64</v>
      </c>
      <c r="T4" s="90" t="s">
        <v>63</v>
      </c>
      <c r="U4" s="90" t="s">
        <v>15</v>
      </c>
      <c r="V4" s="90" t="s">
        <v>70</v>
      </c>
      <c r="AA4" s="60"/>
    </row>
    <row r="5" spans="1:27" x14ac:dyDescent="0.35">
      <c r="A5" s="78"/>
      <c r="B5" s="79"/>
      <c r="C5" s="77" t="s">
        <v>37</v>
      </c>
      <c r="D5" s="66" t="s">
        <v>5</v>
      </c>
      <c r="E5" s="93">
        <v>74</v>
      </c>
      <c r="F5" s="60"/>
      <c r="G5" s="60"/>
      <c r="H5" s="83">
        <v>2</v>
      </c>
      <c r="I5" s="85" t="s">
        <v>56</v>
      </c>
      <c r="J5" s="86"/>
      <c r="K5" s="86"/>
      <c r="L5" s="86"/>
      <c r="M5" s="87"/>
      <c r="N5" s="84"/>
      <c r="O5" s="84"/>
      <c r="P5" s="84"/>
      <c r="Q5" s="60"/>
      <c r="R5" s="82" t="s">
        <v>43</v>
      </c>
      <c r="S5" s="80"/>
      <c r="T5" s="80"/>
      <c r="U5" s="91" t="s">
        <v>26</v>
      </c>
      <c r="V5" s="80"/>
      <c r="AA5" s="60"/>
    </row>
    <row r="6" spans="1:27" x14ac:dyDescent="0.35">
      <c r="A6" s="78"/>
      <c r="B6" s="79"/>
      <c r="C6" s="77" t="s">
        <v>38</v>
      </c>
      <c r="D6" s="66" t="s">
        <v>5</v>
      </c>
      <c r="E6" s="93">
        <v>41</v>
      </c>
      <c r="F6" s="60"/>
      <c r="G6" s="60"/>
      <c r="H6" s="83">
        <v>3</v>
      </c>
      <c r="I6" s="129" t="s">
        <v>57</v>
      </c>
      <c r="J6" s="130"/>
      <c r="K6" s="130"/>
      <c r="L6" s="130"/>
      <c r="M6" s="131"/>
      <c r="N6" s="84"/>
      <c r="O6" s="84"/>
      <c r="P6" s="84"/>
      <c r="Q6" s="60"/>
      <c r="R6" s="82" t="s">
        <v>44</v>
      </c>
      <c r="S6" s="91" t="s">
        <v>65</v>
      </c>
      <c r="T6" s="80"/>
      <c r="U6" s="91" t="s">
        <v>24</v>
      </c>
      <c r="V6" s="91" t="s">
        <v>24</v>
      </c>
      <c r="AA6" s="60"/>
    </row>
    <row r="7" spans="1:27" x14ac:dyDescent="0.35">
      <c r="A7" s="78"/>
      <c r="B7" s="79"/>
      <c r="C7" s="77" t="s">
        <v>3</v>
      </c>
      <c r="D7" s="66" t="s">
        <v>14</v>
      </c>
      <c r="E7" s="92" t="s">
        <v>58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82" t="s">
        <v>45</v>
      </c>
      <c r="S7" s="91" t="s">
        <v>65</v>
      </c>
      <c r="T7" s="80"/>
      <c r="U7" s="91" t="s">
        <v>22</v>
      </c>
      <c r="V7" s="91" t="s">
        <v>22</v>
      </c>
      <c r="AA7" s="60"/>
    </row>
    <row r="8" spans="1:27" x14ac:dyDescent="0.35">
      <c r="A8" s="78"/>
      <c r="B8" s="79"/>
      <c r="C8" s="77" t="s">
        <v>39</v>
      </c>
      <c r="D8" s="66" t="s">
        <v>14</v>
      </c>
      <c r="E8" s="92">
        <v>19</v>
      </c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81" t="s">
        <v>46</v>
      </c>
      <c r="S8" s="80"/>
      <c r="T8" s="91" t="s">
        <v>25</v>
      </c>
      <c r="U8" s="80"/>
      <c r="V8" s="80"/>
      <c r="AA8" s="60"/>
    </row>
    <row r="9" spans="1:27" x14ac:dyDescent="0.35">
      <c r="A9" s="78"/>
      <c r="B9" s="79"/>
      <c r="C9" s="77" t="s">
        <v>40</v>
      </c>
      <c r="D9" s="66" t="s">
        <v>14</v>
      </c>
      <c r="E9" s="92">
        <v>2</v>
      </c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AA9" s="60"/>
    </row>
    <row r="10" spans="1:27" x14ac:dyDescent="0.35">
      <c r="A10" s="60"/>
      <c r="B10" s="76"/>
      <c r="C10" s="77" t="s">
        <v>41</v>
      </c>
      <c r="D10" s="66" t="s">
        <v>6</v>
      </c>
      <c r="E10" s="92">
        <v>3528</v>
      </c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AA10" s="60"/>
    </row>
    <row r="11" spans="1:27" x14ac:dyDescent="0.35">
      <c r="A11" s="60"/>
      <c r="B11" s="60"/>
      <c r="C11" s="60"/>
      <c r="D11" s="61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AA11" s="60"/>
    </row>
    <row r="12" spans="1:27" x14ac:dyDescent="0.35">
      <c r="A12" s="60"/>
      <c r="B12" s="137" t="s">
        <v>59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60"/>
      <c r="R12" s="60"/>
      <c r="S12" s="60"/>
      <c r="T12" s="60"/>
      <c r="U12" s="60"/>
      <c r="V12" s="60"/>
      <c r="AA12" s="60"/>
    </row>
    <row r="13" spans="1:27" ht="15" thickBot="1" x14ac:dyDescent="0.4">
      <c r="A13" s="60"/>
      <c r="B13" s="63"/>
      <c r="C13" s="64"/>
      <c r="D13" s="64"/>
      <c r="E13" s="119" t="s">
        <v>0</v>
      </c>
      <c r="F13" s="119"/>
      <c r="G13" s="119"/>
      <c r="H13" s="119" t="s">
        <v>1</v>
      </c>
      <c r="I13" s="119"/>
      <c r="J13" s="119"/>
      <c r="K13" s="119" t="s">
        <v>2</v>
      </c>
      <c r="L13" s="119"/>
      <c r="M13" s="119"/>
      <c r="N13" s="119" t="s">
        <v>33</v>
      </c>
      <c r="O13" s="119"/>
      <c r="P13" s="119"/>
      <c r="Q13" s="60"/>
      <c r="R13" s="60"/>
      <c r="S13" s="60"/>
      <c r="T13" s="60"/>
      <c r="U13" s="60"/>
      <c r="V13" s="60"/>
      <c r="AA13" s="60"/>
    </row>
    <row r="14" spans="1:27" ht="15" thickTop="1" x14ac:dyDescent="0.35">
      <c r="A14" s="60"/>
      <c r="B14" s="140"/>
      <c r="C14" s="65" t="s">
        <v>42</v>
      </c>
      <c r="D14" s="30" t="s">
        <v>6</v>
      </c>
      <c r="E14" s="120">
        <f>IF(ISERROR('specific Parameter'!C37),"-",'specific Parameter'!C20)</f>
        <v>6.5176777135654484</v>
      </c>
      <c r="F14" s="121"/>
      <c r="G14" s="122"/>
      <c r="H14" s="120">
        <f>IF(ISERROR('specific Parameter'!D37),"-",'specific Parameter'!D20)</f>
        <v>198.86558219178082</v>
      </c>
      <c r="I14" s="121"/>
      <c r="J14" s="122"/>
      <c r="K14" s="120">
        <f>IF(ISERROR('specific Parameter'!E37),"-",'specific Parameter'!E20)</f>
        <v>170.43022260273972</v>
      </c>
      <c r="L14" s="121"/>
      <c r="M14" s="122"/>
      <c r="N14" s="120">
        <f>IF(ISERROR('specific Parameter'!F37),"-",'specific Parameter'!F20)</f>
        <v>50025.019549086755</v>
      </c>
      <c r="O14" s="121"/>
      <c r="P14" s="122"/>
      <c r="Q14" s="60"/>
      <c r="R14" s="60"/>
      <c r="S14" s="60"/>
      <c r="T14" s="60"/>
      <c r="U14" s="60"/>
      <c r="V14" s="60"/>
      <c r="AA14" s="60"/>
    </row>
    <row r="15" spans="1:27" x14ac:dyDescent="0.35">
      <c r="A15" s="60"/>
      <c r="B15" s="140"/>
      <c r="C15" s="65" t="s">
        <v>43</v>
      </c>
      <c r="D15" s="30" t="s">
        <v>6</v>
      </c>
      <c r="E15" s="123" t="s">
        <v>14</v>
      </c>
      <c r="F15" s="124"/>
      <c r="G15" s="125"/>
      <c r="H15" s="123" t="s">
        <v>14</v>
      </c>
      <c r="I15" s="124"/>
      <c r="J15" s="125"/>
      <c r="K15" s="123">
        <f>IF(ISERROR('specific Parameter'!E37),"-",'specific Parameter'!E21)</f>
        <v>17.789193302891935</v>
      </c>
      <c r="L15" s="124"/>
      <c r="M15" s="125"/>
      <c r="N15" s="123" t="s">
        <v>14</v>
      </c>
      <c r="O15" s="124"/>
      <c r="P15" s="125"/>
      <c r="Q15" s="60"/>
      <c r="R15" s="60"/>
      <c r="S15" s="60"/>
      <c r="T15" s="60"/>
      <c r="U15" s="60"/>
      <c r="V15" s="60"/>
      <c r="AA15" s="60"/>
    </row>
    <row r="16" spans="1:27" x14ac:dyDescent="0.35">
      <c r="A16" s="60"/>
      <c r="B16" s="141"/>
      <c r="C16" s="65" t="s">
        <v>44</v>
      </c>
      <c r="D16" s="66" t="s">
        <v>6</v>
      </c>
      <c r="E16" s="123">
        <f>IF(ISERROR('specific Parameter'!C37),"-",'specific Parameter'!C22)</f>
        <v>0.36539872798434442</v>
      </c>
      <c r="F16" s="124"/>
      <c r="G16" s="125"/>
      <c r="H16" s="123" t="s">
        <v>14</v>
      </c>
      <c r="I16" s="124"/>
      <c r="J16" s="125"/>
      <c r="K16" s="126">
        <f>IF(ISERROR('specific Parameter'!E37),"-",'specific Parameter'!E22)</f>
        <v>41.856925418569254</v>
      </c>
      <c r="L16" s="126"/>
      <c r="M16" s="126"/>
      <c r="N16" s="126">
        <f>IF(ISERROR('specific Parameter'!F37),"-",'specific Parameter'!F22)</f>
        <v>8.3713850837138502</v>
      </c>
      <c r="O16" s="126"/>
      <c r="P16" s="126"/>
      <c r="Q16" s="60"/>
      <c r="R16" s="60"/>
      <c r="S16" s="60"/>
      <c r="T16" s="60"/>
      <c r="U16" s="60"/>
      <c r="V16" s="60"/>
      <c r="AA16" s="60"/>
    </row>
    <row r="17" spans="1:27" x14ac:dyDescent="0.35">
      <c r="A17" s="60"/>
      <c r="B17" s="141"/>
      <c r="C17" s="65" t="s">
        <v>45</v>
      </c>
      <c r="D17" s="66" t="s">
        <v>6</v>
      </c>
      <c r="E17" s="123">
        <f>IF(ISERROR('specific Parameter'!C37),"-",'specific Parameter'!C23)</f>
        <v>235.19657534246574</v>
      </c>
      <c r="F17" s="124"/>
      <c r="G17" s="125"/>
      <c r="H17" s="123" t="str">
        <f>'specific Parameter'!D23</f>
        <v>-</v>
      </c>
      <c r="I17" s="124"/>
      <c r="J17" s="125"/>
      <c r="K17" s="126">
        <f>IF(ISERROR('specific Parameter'!E37),"-",'specific Parameter'!E23)</f>
        <v>445.89041095890411</v>
      </c>
      <c r="L17" s="126"/>
      <c r="M17" s="126"/>
      <c r="N17" s="126">
        <f>IF(ISERROR('specific Parameter'!F37),"-",'specific Parameter'!F23)</f>
        <v>445.89041095890411</v>
      </c>
      <c r="O17" s="126"/>
      <c r="P17" s="126"/>
      <c r="Q17" s="60"/>
      <c r="R17" s="60"/>
      <c r="S17" s="60"/>
      <c r="T17" s="60"/>
      <c r="U17" s="60"/>
      <c r="V17" s="60"/>
      <c r="AA17" s="60"/>
    </row>
    <row r="18" spans="1:27" ht="15" thickBot="1" x14ac:dyDescent="0.4">
      <c r="A18" s="60"/>
      <c r="B18" s="142"/>
      <c r="C18" s="67" t="s">
        <v>46</v>
      </c>
      <c r="D18" s="68" t="s">
        <v>6</v>
      </c>
      <c r="E18" s="134" t="str">
        <f>'specific Parameter'!C24</f>
        <v>-</v>
      </c>
      <c r="F18" s="135"/>
      <c r="G18" s="136"/>
      <c r="H18" s="134">
        <f>IF(ISERROR('specific Parameter'!D37),"-",'specific Parameter'!D24)</f>
        <v>55.376712328767127</v>
      </c>
      <c r="I18" s="135"/>
      <c r="J18" s="136"/>
      <c r="K18" s="133" t="str">
        <f>'specific Parameter'!E24</f>
        <v>-</v>
      </c>
      <c r="L18" s="133"/>
      <c r="M18" s="133"/>
      <c r="N18" s="133" t="s">
        <v>14</v>
      </c>
      <c r="O18" s="133"/>
      <c r="P18" s="133"/>
      <c r="Q18" s="60"/>
      <c r="R18" s="60"/>
      <c r="S18" s="60"/>
      <c r="T18" s="60"/>
      <c r="U18" s="60"/>
      <c r="V18" s="60"/>
      <c r="AA18" s="60"/>
    </row>
    <row r="19" spans="1:27" ht="15" thickTop="1" x14ac:dyDescent="0.35">
      <c r="A19" s="60"/>
      <c r="B19" s="139"/>
      <c r="C19" s="65" t="s">
        <v>47</v>
      </c>
      <c r="D19" s="30" t="s">
        <v>6</v>
      </c>
      <c r="E19" s="112">
        <f>IF(ISERROR('specific Parameter'!C37),"-",'specific Parameter'!C18)</f>
        <v>1901.9</v>
      </c>
      <c r="F19" s="112"/>
      <c r="G19" s="112"/>
      <c r="H19" s="112">
        <f>IF(ISERROR('specific Parameter'!D37),"-",'specific Parameter'!D18)</f>
        <v>244.53</v>
      </c>
      <c r="I19" s="112"/>
      <c r="J19" s="112"/>
      <c r="K19" s="112">
        <f>IF(ISERROR('specific Parameter'!E37),"-",'specific Parameter'!E18)</f>
        <v>296.39999999999998</v>
      </c>
      <c r="L19" s="112"/>
      <c r="M19" s="112"/>
      <c r="N19" s="112">
        <f>IF(ISERROR('specific Parameter'!F37),"-",'specific Parameter'!F18)</f>
        <v>222.29999999999998</v>
      </c>
      <c r="O19" s="112"/>
      <c r="P19" s="112"/>
      <c r="Q19" s="60"/>
      <c r="R19" s="60"/>
      <c r="S19" s="60"/>
      <c r="T19" s="60"/>
      <c r="U19" s="60"/>
      <c r="V19" s="60"/>
      <c r="AA19" s="60"/>
    </row>
    <row r="20" spans="1:27" x14ac:dyDescent="0.35">
      <c r="A20" s="60"/>
      <c r="B20" s="137"/>
      <c r="C20" s="65" t="s">
        <v>48</v>
      </c>
      <c r="D20" s="30" t="s">
        <v>6</v>
      </c>
      <c r="E20" s="6">
        <f>IF(ISERROR('specific Parameter'!C37),"-",'specific Parameter'!C33)</f>
        <v>972.5</v>
      </c>
      <c r="F20" s="7" t="s">
        <v>23</v>
      </c>
      <c r="G20" s="7">
        <f>IF(ISERROR('specific Parameter'!C37),"-",'specific Parameter'!C34)</f>
        <v>107.5</v>
      </c>
      <c r="H20" s="6">
        <f>IF(ISERROR('specific Parameter'!D37),"-",'specific Parameter'!D33)</f>
        <v>460</v>
      </c>
      <c r="I20" s="7" t="s">
        <v>23</v>
      </c>
      <c r="J20" s="8">
        <f>IF(ISERROR('specific Parameter'!D37),"-",'specific Parameter'!D34)</f>
        <v>50</v>
      </c>
      <c r="K20" s="6">
        <f>IF(ISERROR('specific Parameter'!E37),"-",'specific Parameter'!E33)</f>
        <v>560</v>
      </c>
      <c r="L20" s="7" t="s">
        <v>23</v>
      </c>
      <c r="M20" s="8">
        <f>IF(ISERROR('specific Parameter'!E37),"-",'specific Parameter'!E34)</f>
        <v>65</v>
      </c>
      <c r="N20" s="6">
        <f>IF(ISERROR('specific Parameter'!F37),"-",'specific Parameter'!F33)</f>
        <v>175</v>
      </c>
      <c r="O20" s="7" t="s">
        <v>23</v>
      </c>
      <c r="P20" s="8">
        <f>IF(ISERROR('specific Parameter'!F37),"-",'specific Parameter'!F34)</f>
        <v>20</v>
      </c>
      <c r="Q20" s="60"/>
      <c r="R20" s="60"/>
      <c r="S20" s="60"/>
      <c r="T20" s="60"/>
      <c r="U20" s="60"/>
      <c r="V20" s="60"/>
      <c r="AA20" s="60"/>
    </row>
    <row r="21" spans="1:27" ht="15" thickBot="1" x14ac:dyDescent="0.4">
      <c r="A21" s="60"/>
      <c r="B21" s="137"/>
      <c r="C21" s="67" t="s">
        <v>49</v>
      </c>
      <c r="D21" s="68" t="s">
        <v>6</v>
      </c>
      <c r="E21" s="69">
        <f>IF(ISERROR('specific Parameter'!C37),"-",'specific Parameter'!C28)</f>
        <v>902.5</v>
      </c>
      <c r="F21" s="70" t="s">
        <v>23</v>
      </c>
      <c r="G21" s="71">
        <f>IF(ISERROR('specific Parameter'!C37),"-",'specific Parameter'!C29)</f>
        <v>617.5</v>
      </c>
      <c r="H21" s="69">
        <f>IF(ISERROR('specific Parameter'!D37),"-",'specific Parameter'!D28)</f>
        <v>902.5</v>
      </c>
      <c r="I21" s="70" t="s">
        <v>23</v>
      </c>
      <c r="J21" s="72">
        <f>IF(ISERROR('specific Parameter'!D37),"-",'specific Parameter'!D29)</f>
        <v>617.5</v>
      </c>
      <c r="K21" s="69">
        <f>IF(ISERROR('specific Parameter'!E37),"-",'specific Parameter'!E28)</f>
        <v>902.5</v>
      </c>
      <c r="L21" s="70" t="s">
        <v>23</v>
      </c>
      <c r="M21" s="72">
        <f>IF(ISERROR('specific Parameter'!E37),"-",'specific Parameter'!E29)</f>
        <v>617.5</v>
      </c>
      <c r="N21" s="69">
        <f>IF(ISERROR('specific Parameter'!F37),"-",'specific Parameter'!F28)</f>
        <v>902.5</v>
      </c>
      <c r="O21" s="70" t="s">
        <v>23</v>
      </c>
      <c r="P21" s="72">
        <f>IF(ISERROR('specific Parameter'!F37),"-",'specific Parameter'!F29)</f>
        <v>617.5</v>
      </c>
      <c r="Q21" s="60"/>
      <c r="R21" s="60"/>
      <c r="S21" s="60"/>
      <c r="T21" s="60"/>
      <c r="U21" s="60"/>
      <c r="V21" s="60"/>
      <c r="AA21" s="60"/>
    </row>
    <row r="22" spans="1:27" ht="15" thickTop="1" x14ac:dyDescent="0.35">
      <c r="A22" s="60"/>
      <c r="B22" s="137"/>
      <c r="C22" s="26" t="s">
        <v>50</v>
      </c>
      <c r="D22" s="29" t="s">
        <v>6</v>
      </c>
      <c r="E22" s="4">
        <f>IF(ISERROR('specific Parameter'!C37),"-",'specific Parameter'!C37)</f>
        <v>4018.9796517840155</v>
      </c>
      <c r="F22" s="7" t="s">
        <v>23</v>
      </c>
      <c r="G22" s="5">
        <f>IF(ISERROR('specific Parameter'!C37),"-",'specific Parameter'!C38)</f>
        <v>725</v>
      </c>
      <c r="H22" s="6">
        <f>IF(ISERROR('specific Parameter'!D37),"-",'specific Parameter'!D37)</f>
        <v>1861.2722945205478</v>
      </c>
      <c r="I22" s="7" t="s">
        <v>23</v>
      </c>
      <c r="J22" s="8">
        <f>IF(ISERROR('specific Parameter'!D37),"-",'specific Parameter'!D38)</f>
        <v>667.5</v>
      </c>
      <c r="K22" s="6">
        <f>IF(ISERROR('specific Parameter'!E37),"-",'specific Parameter'!E37)</f>
        <v>2434.8667522831051</v>
      </c>
      <c r="L22" s="7" t="s">
        <v>23</v>
      </c>
      <c r="M22" s="8">
        <f>IF(ISERROR('specific Parameter'!E37),"-",'specific Parameter'!E38)</f>
        <v>682.5</v>
      </c>
      <c r="N22" s="6">
        <f>IF(ISERROR('specific Parameter'!F37),"-",'specific Parameter'!F37)</f>
        <v>51779.08134512938</v>
      </c>
      <c r="O22" s="7" t="s">
        <v>23</v>
      </c>
      <c r="P22" s="8">
        <f>IF(ISERROR('specific Parameter'!F37),"-",'specific Parameter'!F38)</f>
        <v>637.5</v>
      </c>
      <c r="Q22" s="60"/>
      <c r="R22" s="60"/>
      <c r="S22" s="60"/>
      <c r="T22" s="60"/>
      <c r="U22" s="60"/>
      <c r="V22" s="60"/>
      <c r="AA22" s="60"/>
    </row>
    <row r="23" spans="1:27" ht="15" thickBot="1" x14ac:dyDescent="0.4">
      <c r="A23" s="60"/>
      <c r="B23" s="137"/>
      <c r="C23" s="73" t="s">
        <v>51</v>
      </c>
      <c r="D23" s="74" t="s">
        <v>6</v>
      </c>
      <c r="E23" s="69">
        <f>IF(ISERROR('specific Parameter'!C37),"-",'specific Parameter'!C39)</f>
        <v>211.52524483073765</v>
      </c>
      <c r="F23" s="71" t="s">
        <v>23</v>
      </c>
      <c r="G23" s="71">
        <f>IF(ISERROR('specific Parameter'!C37),"-",'specific Parameter'!C40)</f>
        <v>38.157894736842103</v>
      </c>
      <c r="H23" s="69">
        <f>IF(ISERROR('specific Parameter'!D37),"-",'specific Parameter'!D39)</f>
        <v>97.961699711607778</v>
      </c>
      <c r="I23" s="71" t="s">
        <v>23</v>
      </c>
      <c r="J23" s="72">
        <f>IF(ISERROR('specific Parameter'!D37),"-",'specific Parameter'!D40)</f>
        <v>35.131578947368418</v>
      </c>
      <c r="K23" s="69">
        <f>IF(ISERROR('specific Parameter'!E37),"-",'specific Parameter'!E39)</f>
        <v>128.15088169911078</v>
      </c>
      <c r="L23" s="71" t="s">
        <v>23</v>
      </c>
      <c r="M23" s="72">
        <f>IF(ISERROR('specific Parameter'!E37),"-",'specific Parameter'!E40)</f>
        <v>35.921052631578945</v>
      </c>
      <c r="N23" s="69">
        <f>IF(ISERROR('specific Parameter'!F37),"-",'specific Parameter'!F39)</f>
        <v>2725.2148076383883</v>
      </c>
      <c r="O23" s="71" t="s">
        <v>23</v>
      </c>
      <c r="P23" s="72">
        <f>IF(ISERROR('specific Parameter'!F37),"-",'specific Parameter'!F40)</f>
        <v>33.55263157894737</v>
      </c>
      <c r="Q23" s="60"/>
      <c r="R23" s="60"/>
      <c r="S23" s="60"/>
      <c r="T23" s="60"/>
      <c r="U23" s="60"/>
      <c r="V23" s="60"/>
      <c r="AA23" s="60"/>
    </row>
    <row r="24" spans="1:27" ht="29.5" thickTop="1" x14ac:dyDescent="0.35">
      <c r="A24" s="60"/>
      <c r="B24" s="137"/>
      <c r="C24" s="27" t="s">
        <v>52</v>
      </c>
      <c r="D24" s="30" t="s">
        <v>11</v>
      </c>
      <c r="E24" s="113">
        <f>IF(ISERROR('specific Parameter'!C37),"-",'specific Parameter'!C44)</f>
        <v>28.296984160016581</v>
      </c>
      <c r="F24" s="114"/>
      <c r="G24" s="115"/>
      <c r="H24" s="113">
        <f>IF(ISERROR('specific Parameter'!D37),"-",'specific Parameter'!D44)</f>
        <v>-429.54539507057348</v>
      </c>
      <c r="I24" s="114"/>
      <c r="J24" s="115"/>
      <c r="K24" s="113">
        <f>IF(ISERROR('specific Parameter'!E37),"-",'specific Parameter'!E44)</f>
        <v>-264.47628558453511</v>
      </c>
      <c r="L24" s="114"/>
      <c r="M24" s="115"/>
      <c r="N24" s="113">
        <f>IF(ISERROR('specific Parameter'!F37),"-",'specific Parameter'!F44)</f>
        <v>21674.98949508505</v>
      </c>
      <c r="O24" s="114"/>
      <c r="P24" s="115"/>
      <c r="Q24" s="60"/>
      <c r="R24" s="60"/>
      <c r="S24" s="60"/>
      <c r="T24" s="60"/>
      <c r="U24" s="60"/>
      <c r="V24" s="60"/>
      <c r="AA24" s="60"/>
    </row>
    <row r="25" spans="1:27" x14ac:dyDescent="0.35">
      <c r="A25" s="60"/>
      <c r="B25" s="137"/>
      <c r="C25" s="27" t="s">
        <v>53</v>
      </c>
      <c r="D25" s="30" t="s">
        <v>14</v>
      </c>
      <c r="E25" s="113" t="str">
        <f>IF($E$4*'specific Parameter'!C11&gt;'Process parameter'!D7,"Build space collision",
IF($E$5*'specific Parameter'!C11&gt;'Process parameter'!D64,"Build space collision",
IF($E$6*'specific Parameter'!C11&gt;'Process parameter'!D65,"Build space collision",
IF(VLOOKUP('Input - Output'!E$7,'Process parameter'!$J:$R,3,FALSE)="-","Material not available ↯",
IF('specific Parameter'!C44&gt;100,"Process unsuitable","Process possibly suitable")))))</f>
        <v>Process possibly suitable</v>
      </c>
      <c r="F25" s="114"/>
      <c r="G25" s="115"/>
      <c r="H25" s="116" t="str">
        <f>IF($E$4&gt;'Process parameter'!E7,"Build space collision",
IF($E$5&gt;'Process parameter'!E8,"Build space collision",
IF($E$6&gt;'Process parameter'!E6,"Build space collision",
IF(VLOOKUP('Input - Output'!E$7,'Process parameter'!$J:$R,4,FALSE)="-","Material not available ↯",
IF('specific Parameter'!D44&gt;100,"Process unsuitable","Process possibly suitable")))))</f>
        <v>Process possibly suitable</v>
      </c>
      <c r="I25" s="117"/>
      <c r="J25" s="118"/>
      <c r="K25" s="113" t="str">
        <f>IF($E$4*'specific Parameter'!E11&gt;'Process parameter'!F7,"Build space collision",
IF($E$5*'specific Parameter'!E11&gt;'Process parameter'!F8,"Build space collision",
IF($E$6*'specific Parameter'!E11&gt;'Process parameter'!F6,"Build space collision",
IF(VLOOKUP('Input - Output'!E$7,'Process parameter'!$J:$R,5,FALSE)="-","Material ↯",
IF('specific Parameter'!E44&gt;100,"Process unsuitable","Process possibly suitable")))))</f>
        <v>Process possibly suitable</v>
      </c>
      <c r="L25" s="114"/>
      <c r="M25" s="115"/>
      <c r="N25" s="116" t="str">
        <f>IF(VLOOKUP('Input - Output'!E$7,'Process parameter'!$J:$R,6,FALSE)="-","Material not avalable ↯",
IF('specific Parameter'!F44&gt;100,"Process unsuitable","Process possibly suitable"))</f>
        <v>Process unsuitable</v>
      </c>
      <c r="O25" s="117"/>
      <c r="P25" s="118"/>
      <c r="Q25" s="60"/>
      <c r="R25" s="60"/>
      <c r="S25" s="60"/>
      <c r="T25" s="60"/>
      <c r="U25" s="60"/>
      <c r="V25" s="60"/>
      <c r="AA25" s="60"/>
    </row>
    <row r="26" spans="1:27" x14ac:dyDescent="0.35">
      <c r="A26" s="60"/>
      <c r="B26" s="60"/>
      <c r="C26" s="60"/>
      <c r="D26" s="61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AA26" s="60"/>
    </row>
    <row r="27" spans="1:27" hidden="1" x14ac:dyDescent="0.35">
      <c r="A27" s="60"/>
      <c r="B27" s="60"/>
      <c r="C27" s="60"/>
      <c r="D27" s="61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AA27" s="60"/>
    </row>
    <row r="28" spans="1:27" hidden="1" x14ac:dyDescent="0.35">
      <c r="A28" s="60"/>
      <c r="B28" s="60"/>
      <c r="C28" s="60"/>
      <c r="D28" s="61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AA28" s="60"/>
    </row>
    <row r="29" spans="1:27" hidden="1" x14ac:dyDescent="0.35">
      <c r="A29" s="60"/>
      <c r="B29" s="60"/>
      <c r="C29" s="60"/>
      <c r="D29" s="61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AA29" s="60"/>
    </row>
    <row r="30" spans="1:27" hidden="1" x14ac:dyDescent="0.35">
      <c r="A30" s="60"/>
      <c r="B30" s="60"/>
      <c r="C30" s="60"/>
      <c r="D30" s="61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AA30" s="60"/>
    </row>
    <row r="43" ht="15.65" hidden="1" customHeight="1" x14ac:dyDescent="0.35"/>
  </sheetData>
  <sheetProtection sheet="1" selectLockedCells="1"/>
  <mergeCells count="43">
    <mergeCell ref="E25:G25"/>
    <mergeCell ref="B19:B25"/>
    <mergeCell ref="E24:G24"/>
    <mergeCell ref="B14:B18"/>
    <mergeCell ref="E13:G13"/>
    <mergeCell ref="E19:G19"/>
    <mergeCell ref="E14:G14"/>
    <mergeCell ref="E16:G16"/>
    <mergeCell ref="E17:G17"/>
    <mergeCell ref="E18:G18"/>
    <mergeCell ref="E15:G15"/>
    <mergeCell ref="K25:M25"/>
    <mergeCell ref="H24:J24"/>
    <mergeCell ref="H13:J13"/>
    <mergeCell ref="H19:J19"/>
    <mergeCell ref="H16:J16"/>
    <mergeCell ref="H14:J14"/>
    <mergeCell ref="H17:J17"/>
    <mergeCell ref="H15:J15"/>
    <mergeCell ref="H25:J25"/>
    <mergeCell ref="K24:M24"/>
    <mergeCell ref="K13:M13"/>
    <mergeCell ref="K19:M19"/>
    <mergeCell ref="K14:M14"/>
    <mergeCell ref="K16:M16"/>
    <mergeCell ref="K17:M17"/>
    <mergeCell ref="K15:M15"/>
    <mergeCell ref="C2:E2"/>
    <mergeCell ref="I6:M6"/>
    <mergeCell ref="H2:M2"/>
    <mergeCell ref="K18:M18"/>
    <mergeCell ref="H18:J18"/>
    <mergeCell ref="B12:P12"/>
    <mergeCell ref="N18:P18"/>
    <mergeCell ref="R2:V2"/>
    <mergeCell ref="N19:P19"/>
    <mergeCell ref="N24:P24"/>
    <mergeCell ref="N25:P25"/>
    <mergeCell ref="N13:P13"/>
    <mergeCell ref="N14:P14"/>
    <mergeCell ref="N15:P15"/>
    <mergeCell ref="N16:P16"/>
    <mergeCell ref="N17:P17"/>
  </mergeCells>
  <conditionalFormatting sqref="H3:H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dataValidations count="12">
    <dataValidation type="list" allowBlank="1" showInputMessage="1" showErrorMessage="1" sqref="S4">
      <formula1>INDIRECT("Tabelle34")</formula1>
    </dataValidation>
    <dataValidation type="list" allowBlank="1" showInputMessage="1" showErrorMessage="1" sqref="S6">
      <formula1>INDIRECT("Entb_MEX")</formula1>
    </dataValidation>
    <dataValidation type="list" allowBlank="1" showInputMessage="1" showErrorMessage="1" sqref="S7">
      <formula1>INDIRECT("Sint_MEX")</formula1>
    </dataValidation>
    <dataValidation type="list" allowBlank="1" showInputMessage="1" showErrorMessage="1" sqref="T8">
      <formula1>INDIRECT("Tabelle35")</formula1>
    </dataValidation>
    <dataValidation type="list" allowBlank="1" showInputMessage="1" showErrorMessage="1" sqref="T4">
      <formula1>INDIRECT("Form_PBF")</formula1>
    </dataValidation>
    <dataValidation type="list" allowBlank="1" showInputMessage="1" showErrorMessage="1" sqref="U4">
      <formula1>INDIRECT("Form_BJT")</formula1>
    </dataValidation>
    <dataValidation type="list" allowBlank="1" showInputMessage="1" showErrorMessage="1" sqref="U5">
      <formula1>INDIRECT("Curing_BJT")</formula1>
    </dataValidation>
    <dataValidation type="list" allowBlank="1" showInputMessage="1" showErrorMessage="1" sqref="U6">
      <formula1>INDIRECT("Entb_BJT")</formula1>
    </dataValidation>
    <dataValidation type="list" allowBlank="1" showInputMessage="1" showErrorMessage="1" sqref="U7">
      <formula1>INDIRECT("Sint_BJT")</formula1>
    </dataValidation>
    <dataValidation type="list" allowBlank="1" showInputMessage="1" showErrorMessage="1" sqref="V4">
      <formula1>INDIRECT("Form_MIM")</formula1>
    </dataValidation>
    <dataValidation type="list" allowBlank="1" showInputMessage="1" showErrorMessage="1" sqref="V6">
      <formula1>INDIRECT("Entb_MIM")</formula1>
    </dataValidation>
    <dataValidation type="list" allowBlank="1" showInputMessage="1" showErrorMessage="1" sqref="V7">
      <formula1>INDIRECT("Sint_MIM")</formula1>
    </dataValidation>
  </dataValidations>
  <pageMargins left="0.7" right="0.7" top="0.75" bottom="0.75" header="0.3" footer="0.3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'Process parameter'!$J$4:$J$8</xm:f>
          </x14:formula1>
          <xm:sqref>E7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2"/>
  <sheetViews>
    <sheetView topLeftCell="A19" zoomScale="130" zoomScaleNormal="130" workbookViewId="0">
      <selection activeCell="L7" sqref="L7"/>
    </sheetView>
  </sheetViews>
  <sheetFormatPr baseColWidth="10" defaultColWidth="0" defaultRowHeight="14.5" zeroHeight="1" x14ac:dyDescent="0.35"/>
  <cols>
    <col min="1" max="1" width="2.453125" style="9" customWidth="1"/>
    <col min="2" max="2" width="20.7265625" style="9" customWidth="1"/>
    <col min="3" max="3" width="5.54296875" style="36" customWidth="1"/>
    <col min="4" max="6" width="10.81640625" style="37" customWidth="1"/>
    <col min="7" max="7" width="17.54296875" style="37" customWidth="1"/>
    <col min="8" max="8" width="10.81640625" style="9" customWidth="1"/>
    <col min="9" max="9" width="7.54296875" style="9" customWidth="1"/>
    <col min="10" max="10" width="12.54296875" style="9" customWidth="1"/>
    <col min="11" max="11" width="14" style="36" customWidth="1"/>
    <col min="12" max="19" width="10.81640625" style="36" customWidth="1"/>
    <col min="20" max="20" width="14.54296875" style="9" customWidth="1"/>
    <col min="21" max="21" width="5.81640625" style="9" customWidth="1"/>
    <col min="22" max="22" width="5.453125" style="9" customWidth="1"/>
    <col min="23" max="23" width="3.453125" style="9" customWidth="1"/>
    <col min="24" max="25" width="16.54296875" style="36" customWidth="1"/>
    <col min="26" max="16384" width="10.81640625" style="9" hidden="1"/>
  </cols>
  <sheetData>
    <row r="1" spans="2:25" x14ac:dyDescent="0.35"/>
    <row r="2" spans="2:25" x14ac:dyDescent="0.35">
      <c r="J2" s="46" t="s">
        <v>99</v>
      </c>
      <c r="K2" s="16" t="s">
        <v>100</v>
      </c>
      <c r="L2" s="143" t="s">
        <v>101</v>
      </c>
      <c r="M2" s="144"/>
      <c r="N2" s="144"/>
      <c r="O2" s="145"/>
      <c r="P2" s="143" t="s">
        <v>102</v>
      </c>
      <c r="Q2" s="144"/>
      <c r="R2" s="144"/>
      <c r="S2" s="145"/>
    </row>
    <row r="3" spans="2:25" x14ac:dyDescent="0.35">
      <c r="J3" s="21"/>
      <c r="K3" s="22"/>
      <c r="L3" s="47" t="s">
        <v>0</v>
      </c>
      <c r="M3" s="47" t="s">
        <v>1</v>
      </c>
      <c r="N3" s="47" t="s">
        <v>2</v>
      </c>
      <c r="O3" s="47" t="s">
        <v>33</v>
      </c>
      <c r="P3" s="47" t="s">
        <v>0</v>
      </c>
      <c r="Q3" s="47" t="s">
        <v>1</v>
      </c>
      <c r="R3" s="47" t="s">
        <v>2</v>
      </c>
      <c r="S3" s="47" t="s">
        <v>33</v>
      </c>
      <c r="V3" s="42"/>
      <c r="W3" s="42"/>
      <c r="X3" s="23" t="s">
        <v>103</v>
      </c>
      <c r="Y3" s="23" t="s">
        <v>111</v>
      </c>
    </row>
    <row r="4" spans="2:25" ht="14.5" customHeight="1" x14ac:dyDescent="0.35">
      <c r="B4" s="146" t="s">
        <v>42</v>
      </c>
      <c r="C4" s="147"/>
      <c r="D4" s="31" t="s">
        <v>0</v>
      </c>
      <c r="E4" s="31" t="s">
        <v>1</v>
      </c>
      <c r="F4" s="49" t="s">
        <v>2</v>
      </c>
      <c r="G4" s="48" t="s">
        <v>33</v>
      </c>
      <c r="I4" s="151" t="s">
        <v>108</v>
      </c>
      <c r="J4" s="95" t="s">
        <v>20</v>
      </c>
      <c r="K4" s="92">
        <v>2.68</v>
      </c>
      <c r="L4" s="92" t="s">
        <v>14</v>
      </c>
      <c r="M4" s="92">
        <v>60</v>
      </c>
      <c r="N4" s="92" t="s">
        <v>14</v>
      </c>
      <c r="O4" s="92" t="s">
        <v>14</v>
      </c>
      <c r="P4" s="92" t="s">
        <v>14</v>
      </c>
      <c r="Q4" s="92">
        <v>23.9</v>
      </c>
      <c r="R4" s="92" t="s">
        <v>14</v>
      </c>
      <c r="S4" s="91" t="s">
        <v>14</v>
      </c>
      <c r="U4" s="152" t="s">
        <v>104</v>
      </c>
      <c r="V4" s="25">
        <v>0</v>
      </c>
      <c r="W4" s="24" t="s">
        <v>7</v>
      </c>
      <c r="X4" s="92">
        <v>0</v>
      </c>
      <c r="Y4" s="92">
        <v>0</v>
      </c>
    </row>
    <row r="5" spans="2:25" ht="14.5" customHeight="1" x14ac:dyDescent="0.35">
      <c r="B5" s="148"/>
      <c r="C5" s="149"/>
      <c r="D5" s="15" t="str">
        <f>HLOOKUP('Input - Output'!S$4,Machines!$J$5:$S$20,1,FALSE)</f>
        <v>Renkforce RF2000</v>
      </c>
      <c r="E5" s="15" t="str">
        <f>HLOOKUP('Input - Output'!T$4,Machines!$J$5:$S$20,1,FALSE)</f>
        <v>One Click Metal</v>
      </c>
      <c r="F5" s="15" t="str">
        <f>HLOOKUP('Input - Output'!U$4,Machines!$J$5:$S$20,1,FALSE)</f>
        <v>DM P2500</v>
      </c>
      <c r="G5" s="15" t="str">
        <f>HLOOKUP('Input - Output'!V$4,Machines!$J$5:$S$20,1,FALSE)</f>
        <v>Arburg Allrounder 470 S</v>
      </c>
      <c r="I5" s="151"/>
      <c r="J5" s="95" t="s">
        <v>18</v>
      </c>
      <c r="K5" s="92">
        <v>4.42</v>
      </c>
      <c r="L5" s="91">
        <v>300</v>
      </c>
      <c r="M5" s="92">
        <v>180</v>
      </c>
      <c r="N5" s="92">
        <v>185</v>
      </c>
      <c r="O5" s="92" t="s">
        <v>14</v>
      </c>
      <c r="P5" s="91" t="s">
        <v>14</v>
      </c>
      <c r="Q5" s="92">
        <v>10</v>
      </c>
      <c r="R5" s="92">
        <v>100</v>
      </c>
      <c r="S5" s="91" t="s">
        <v>14</v>
      </c>
      <c r="U5" s="152"/>
      <c r="V5" s="25">
        <v>1</v>
      </c>
      <c r="W5" s="24" t="s">
        <v>7</v>
      </c>
      <c r="X5" s="92">
        <v>0</v>
      </c>
      <c r="Y5" s="92">
        <v>0.5</v>
      </c>
    </row>
    <row r="6" spans="2:25" x14ac:dyDescent="0.35">
      <c r="B6" s="13" t="s">
        <v>38</v>
      </c>
      <c r="C6" s="11" t="s">
        <v>5</v>
      </c>
      <c r="D6" s="38">
        <f>HLOOKUP('Input - Output'!S$4,Machines!$J$5:$S$20,2,FALSE)</f>
        <v>180</v>
      </c>
      <c r="E6" s="38">
        <f>HLOOKUP('Input - Output'!T$4,Machines!$J$5:$S$20,2,FALSE)</f>
        <v>150</v>
      </c>
      <c r="F6" s="38">
        <f>HLOOKUP('Input - Output'!U$4,Machines!$J$5:$S$20,2,FALSE)</f>
        <v>69</v>
      </c>
      <c r="G6" s="38">
        <f>HLOOKUP('Input - Output'!V$4,Machines!$J$5:$S$20,2,FALSE)</f>
        <v>470</v>
      </c>
      <c r="I6" s="151"/>
      <c r="J6" s="96" t="s">
        <v>19</v>
      </c>
      <c r="K6" s="92">
        <v>7.8</v>
      </c>
      <c r="L6" s="92">
        <v>86.5</v>
      </c>
      <c r="M6" s="92">
        <v>60</v>
      </c>
      <c r="N6" s="92">
        <v>60</v>
      </c>
      <c r="O6" s="92">
        <v>60</v>
      </c>
      <c r="P6" s="92">
        <v>30</v>
      </c>
      <c r="Q6" s="91">
        <v>10</v>
      </c>
      <c r="R6" s="92">
        <v>100</v>
      </c>
      <c r="S6" s="91">
        <v>10000</v>
      </c>
      <c r="U6" s="152"/>
      <c r="V6" s="25">
        <v>2</v>
      </c>
      <c r="W6" s="24" t="s">
        <v>7</v>
      </c>
      <c r="X6" s="92">
        <v>0.5</v>
      </c>
      <c r="Y6" s="92">
        <v>2</v>
      </c>
    </row>
    <row r="7" spans="2:25" x14ac:dyDescent="0.35">
      <c r="B7" s="13" t="s">
        <v>36</v>
      </c>
      <c r="C7" s="11" t="s">
        <v>5</v>
      </c>
      <c r="D7" s="38">
        <f>HLOOKUP('Input - Output'!S$4,Machines!$J$5:$S$20,3,FALSE)</f>
        <v>280</v>
      </c>
      <c r="E7" s="38">
        <f>HLOOKUP('Input - Output'!T$4,Machines!$J$5:$S$20,3,FALSE)</f>
        <v>150</v>
      </c>
      <c r="F7" s="38">
        <f>HLOOKUP('Input - Output'!U$4,Machines!$J$5:$S$20,3,FALSE)</f>
        <v>203</v>
      </c>
      <c r="G7" s="38">
        <f>HLOOKUP('Input - Output'!V$4,Machines!$J$5:$S$20,3,FALSE)</f>
        <v>470</v>
      </c>
      <c r="I7" s="151"/>
      <c r="J7" s="97" t="s">
        <v>31</v>
      </c>
      <c r="K7" s="92">
        <v>7.8</v>
      </c>
      <c r="L7" s="92">
        <v>255</v>
      </c>
      <c r="M7" s="98" t="s">
        <v>14</v>
      </c>
      <c r="N7" s="92" t="s">
        <v>14</v>
      </c>
      <c r="O7" s="92"/>
      <c r="P7" s="92">
        <v>30</v>
      </c>
      <c r="Q7" s="92" t="s">
        <v>14</v>
      </c>
      <c r="R7" s="92" t="s">
        <v>14</v>
      </c>
      <c r="S7" s="91" t="s">
        <v>14</v>
      </c>
      <c r="U7" s="152"/>
      <c r="V7" s="25">
        <v>3</v>
      </c>
      <c r="W7" s="24" t="s">
        <v>7</v>
      </c>
      <c r="X7" s="92">
        <v>2</v>
      </c>
      <c r="Y7" s="92">
        <v>10</v>
      </c>
    </row>
    <row r="8" spans="2:25" x14ac:dyDescent="0.35">
      <c r="B8" s="13" t="s">
        <v>37</v>
      </c>
      <c r="C8" s="11" t="s">
        <v>5</v>
      </c>
      <c r="D8" s="38">
        <f>HLOOKUP('Input - Output'!S$4,Machines!$J$5:$S$20,4,FALSE)</f>
        <v>200</v>
      </c>
      <c r="E8" s="38">
        <f>HLOOKUP('Input - Output'!T$4,Machines!$J$5:$S$20,4,FALSE)</f>
        <v>150</v>
      </c>
      <c r="F8" s="38">
        <f>HLOOKUP('Input - Output'!U$4,Machines!$J$5:$S$20,4,FALSE)</f>
        <v>180</v>
      </c>
      <c r="G8" s="38">
        <f>HLOOKUP('Input - Output'!V$4,Machines!$J$5:$S$20,4,FALSE)</f>
        <v>470</v>
      </c>
      <c r="I8" s="151"/>
      <c r="J8" s="97" t="s">
        <v>58</v>
      </c>
      <c r="K8" s="92">
        <v>7.8</v>
      </c>
      <c r="L8" s="91">
        <v>280</v>
      </c>
      <c r="M8" s="92">
        <v>60</v>
      </c>
      <c r="N8" s="92">
        <v>60</v>
      </c>
      <c r="O8" s="92">
        <v>60</v>
      </c>
      <c r="P8" s="92">
        <v>30</v>
      </c>
      <c r="Q8" s="92">
        <v>10</v>
      </c>
      <c r="R8" s="92">
        <v>100</v>
      </c>
      <c r="S8" s="91">
        <v>10000</v>
      </c>
      <c r="U8" s="43"/>
      <c r="V8" s="43"/>
      <c r="W8" s="43"/>
      <c r="X8" s="92"/>
      <c r="Y8" s="92"/>
    </row>
    <row r="9" spans="2:25" x14ac:dyDescent="0.35">
      <c r="B9" s="13" t="s">
        <v>118</v>
      </c>
      <c r="C9" s="11" t="s">
        <v>5</v>
      </c>
      <c r="D9" s="38">
        <f>HLOOKUP('Input - Output'!S$4,Machines!$J$5:$S$20,5,FALSE)</f>
        <v>2</v>
      </c>
      <c r="E9" s="38">
        <f>HLOOKUP('Input - Output'!T$4,Machines!$J$5:$S$20,5,FALSE)</f>
        <v>3</v>
      </c>
      <c r="F9" s="38">
        <f>HLOOKUP('Input - Output'!U$4,Machines!$J$5:$S$20,5,FALSE)</f>
        <v>3</v>
      </c>
      <c r="G9" s="38">
        <f>HLOOKUP('Input - Output'!V$4,Machines!$J$5:$S$20,5,FALSE)</f>
        <v>3</v>
      </c>
      <c r="U9" s="150" t="s">
        <v>105</v>
      </c>
      <c r="V9" s="150"/>
      <c r="W9" s="24" t="s">
        <v>13</v>
      </c>
      <c r="X9" s="92">
        <v>30</v>
      </c>
      <c r="Y9" s="92">
        <v>40</v>
      </c>
    </row>
    <row r="10" spans="2:25" ht="14.5" customHeight="1" x14ac:dyDescent="0.35">
      <c r="B10" s="13" t="s">
        <v>119</v>
      </c>
      <c r="C10" s="11" t="s">
        <v>7</v>
      </c>
      <c r="D10" s="38">
        <f>HLOOKUP('Input - Output'!S$4,Machines!$J$5:$S$20,6,FALSE)</f>
        <v>0.5</v>
      </c>
      <c r="E10" s="38">
        <f>HLOOKUP('Input - Output'!T$4,Machines!$J$5:$S$20,6,FALSE)</f>
        <v>0.5</v>
      </c>
      <c r="F10" s="38">
        <f>HLOOKUP('Input - Output'!U$4,Machines!$J$5:$S$20,6,FALSE)</f>
        <v>0.5</v>
      </c>
      <c r="G10" s="38">
        <f>HLOOKUP('Input - Output'!V$4,Machines!$J$5:$S$20,6,FALSE)</f>
        <v>1</v>
      </c>
      <c r="I10" s="44" t="s">
        <v>32</v>
      </c>
      <c r="J10" s="45" t="s">
        <v>21</v>
      </c>
      <c r="K10" s="91"/>
      <c r="L10" s="91"/>
      <c r="M10" s="91"/>
      <c r="N10" s="91">
        <v>200</v>
      </c>
      <c r="O10" s="50"/>
      <c r="W10" s="36"/>
    </row>
    <row r="11" spans="2:25" x14ac:dyDescent="0.35">
      <c r="B11" s="13" t="s">
        <v>120</v>
      </c>
      <c r="C11" s="11" t="s">
        <v>11</v>
      </c>
      <c r="D11" s="38">
        <f>HLOOKUP('Input - Output'!S$4,Machines!$J$5:$S$20,7,FALSE)</f>
        <v>40</v>
      </c>
      <c r="E11" s="38">
        <f>HLOOKUP('Input - Output'!T$4,Machines!$J$5:$S$20,7,FALSE)</f>
        <v>40</v>
      </c>
      <c r="F11" s="38">
        <f>HLOOKUP('Input - Output'!U$4,Machines!$J$5:$S$20,7,FALSE)</f>
        <v>10</v>
      </c>
      <c r="G11" s="38">
        <f>HLOOKUP('Input - Output'!V$4,Machines!$J$5:$S$20,7,FALSE)</f>
        <v>10</v>
      </c>
      <c r="J11" s="40"/>
      <c r="K11" s="39"/>
      <c r="L11" s="39"/>
      <c r="M11" s="39"/>
      <c r="N11" s="37"/>
      <c r="O11" s="37"/>
      <c r="W11" s="36"/>
    </row>
    <row r="12" spans="2:25" x14ac:dyDescent="0.35">
      <c r="B12" s="13" t="s">
        <v>121</v>
      </c>
      <c r="C12" s="11" t="s">
        <v>11</v>
      </c>
      <c r="D12" s="38" t="str">
        <f>HLOOKUP('Input - Output'!S$4,Machines!$J$5:$S$20,8,FALSE)</f>
        <v>-</v>
      </c>
      <c r="E12" s="38" t="str">
        <f>HLOOKUP('Input - Output'!T$4,Machines!$J$5:$S$20,8,FALSE)</f>
        <v>-</v>
      </c>
      <c r="F12" s="38">
        <f>HLOOKUP('Input - Output'!U$4,Machines!$J$5:$S$20,8,FALSE)</f>
        <v>74</v>
      </c>
      <c r="G12" s="38">
        <f>HLOOKUP('Input - Output'!V$4,Machines!$J$5:$S$20,8,FALSE)</f>
        <v>74</v>
      </c>
      <c r="J12" s="40"/>
      <c r="K12" s="39"/>
      <c r="L12" s="39"/>
      <c r="M12" s="39"/>
      <c r="N12" s="37"/>
      <c r="O12" s="37"/>
      <c r="W12" s="36"/>
    </row>
    <row r="13" spans="2:25" x14ac:dyDescent="0.35">
      <c r="B13" s="13" t="s">
        <v>122</v>
      </c>
      <c r="C13" s="11" t="s">
        <v>11</v>
      </c>
      <c r="D13" s="38">
        <f>HLOOKUP('Input - Output'!S$4,Machines!$J$5:$S$20,9,FALSE)</f>
        <v>10</v>
      </c>
      <c r="E13" s="38">
        <f>HLOOKUP('Input - Output'!T$4,Machines!$J$5:$S$20,9,FALSE)</f>
        <v>10</v>
      </c>
      <c r="F13" s="38">
        <f>HLOOKUP('Input - Output'!U$4,Machines!$J$5:$S$20,9,FALSE)</f>
        <v>0</v>
      </c>
      <c r="G13" s="38">
        <f>HLOOKUP('Input - Output'!V$4,Machines!$J$5:$S$20,9,FALSE)</f>
        <v>0</v>
      </c>
      <c r="W13" s="36"/>
    </row>
    <row r="14" spans="2:25" x14ac:dyDescent="0.35">
      <c r="B14" s="13" t="s">
        <v>112</v>
      </c>
      <c r="C14" s="11" t="s">
        <v>6</v>
      </c>
      <c r="D14" s="38">
        <f>HLOOKUP('Input - Output'!S$4,Machines!$J$5:$S$20,10,FALSE)</f>
        <v>9041</v>
      </c>
      <c r="E14" s="38">
        <f>HLOOKUP('Input - Output'!T$4,Machines!$J$5:$S$20,10,FALSE)</f>
        <v>97800</v>
      </c>
      <c r="F14" s="38">
        <f>HLOOKUP('Input - Output'!U$4,Machines!$J$5:$S$20,10,FALSE)</f>
        <v>600000</v>
      </c>
      <c r="G14" s="38">
        <f>HLOOKUP('Input - Output'!V$4,Machines!$J$5:$S$20,10,FALSE)</f>
        <v>160000</v>
      </c>
      <c r="W14" s="36"/>
    </row>
    <row r="15" spans="2:25" x14ac:dyDescent="0.35">
      <c r="B15" s="13" t="s">
        <v>113</v>
      </c>
      <c r="C15" s="11" t="s">
        <v>115</v>
      </c>
      <c r="D15" s="38">
        <f>HLOOKUP('Input - Output'!S$4,Machines!$J$5:$S$20,11,FALSE)</f>
        <v>4</v>
      </c>
      <c r="E15" s="38">
        <f>HLOOKUP('Input - Output'!T$4,Machines!$J$5:$S$20,11,FALSE)</f>
        <v>4</v>
      </c>
      <c r="F15" s="38">
        <f>HLOOKUP('Input - Output'!U$4,Machines!$J$5:$S$20,11,FALSE)</f>
        <v>4</v>
      </c>
      <c r="G15" s="38">
        <f>HLOOKUP('Input - Output'!V$4,Machines!$J$5:$S$20,11,FALSE)</f>
        <v>4</v>
      </c>
      <c r="W15" s="36"/>
    </row>
    <row r="16" spans="2:25" x14ac:dyDescent="0.35">
      <c r="B16" s="13" t="s">
        <v>116</v>
      </c>
      <c r="C16" s="11" t="s">
        <v>11</v>
      </c>
      <c r="D16" s="38">
        <f>HLOOKUP('Input - Output'!S$4,Machines!$J$5:$S$20,12,FALSE)</f>
        <v>80</v>
      </c>
      <c r="E16" s="38">
        <f>HLOOKUP('Input - Output'!T$4,Machines!$J$5:$S$20,12,FALSE)</f>
        <v>80</v>
      </c>
      <c r="F16" s="38">
        <f>HLOOKUP('Input - Output'!U$4,Machines!$J$5:$S$20,12,FALSE)</f>
        <v>80</v>
      </c>
      <c r="G16" s="38">
        <f>HLOOKUP('Input - Output'!V$4,Machines!$J$5:$S$20,12,FALSE)</f>
        <v>80</v>
      </c>
      <c r="W16" s="36"/>
    </row>
    <row r="17" spans="2:12" x14ac:dyDescent="0.35">
      <c r="B17" s="13" t="s">
        <v>82</v>
      </c>
      <c r="C17" s="11" t="s">
        <v>6</v>
      </c>
      <c r="D17" s="38">
        <f>HLOOKUP('Input - Output'!S$4,Machines!$J$5:$S$20,13,FALSE)</f>
        <v>20</v>
      </c>
      <c r="E17" s="38">
        <f>HLOOKUP('Input - Output'!T$4,Machines!$J$5:$S$20,13,FALSE)</f>
        <v>20</v>
      </c>
      <c r="F17" s="38">
        <f>HLOOKUP('Input - Output'!U$4,Machines!$J$5:$S$20,13,FALSE)</f>
        <v>35</v>
      </c>
      <c r="G17" s="38">
        <f>HLOOKUP('Input - Output'!V$4,Machines!$J$5:$S$20,13,FALSE)</f>
        <v>35</v>
      </c>
    </row>
    <row r="18" spans="2:12" x14ac:dyDescent="0.35">
      <c r="B18" s="13" t="s">
        <v>110</v>
      </c>
      <c r="C18" s="11" t="s">
        <v>6</v>
      </c>
      <c r="D18" s="38">
        <f>HLOOKUP('Input - Output'!S$4,Machines!$J$5:$S$20,14,FALSE)</f>
        <v>25</v>
      </c>
      <c r="E18" s="38">
        <f>HLOOKUP('Input - Output'!T$4,Machines!$J$5:$S$20,14,FALSE)</f>
        <v>25</v>
      </c>
      <c r="F18" s="38">
        <f>HLOOKUP('Input - Output'!U$4,Machines!$J$5:$S$20,14,FALSE)</f>
        <v>45</v>
      </c>
      <c r="G18" s="38">
        <f>HLOOKUP('Input - Output'!V$4,Machines!$J$5:$S$20,14,FALSE)</f>
        <v>45</v>
      </c>
    </row>
    <row r="19" spans="2:12" x14ac:dyDescent="0.35">
      <c r="B19" s="13" t="s">
        <v>123</v>
      </c>
      <c r="C19" s="11" t="s">
        <v>6</v>
      </c>
      <c r="D19" s="38" t="str">
        <f>HLOOKUP('Input - Output'!S$4,Machines!$J$5:$S$20,15,FALSE)</f>
        <v>-</v>
      </c>
      <c r="E19" s="38" t="str">
        <f>HLOOKUP('Input - Output'!T$4,Machines!$J$5:$S$20,15,FALSE)</f>
        <v>-</v>
      </c>
      <c r="F19" s="38" t="str">
        <f>HLOOKUP('Input - Output'!U$4,Machines!$J$5:$S$20,15,FALSE)</f>
        <v>-</v>
      </c>
      <c r="G19" s="38">
        <f>HLOOKUP('Input - Output'!V$4,Machines!$J$5:$S$20,15,FALSE)</f>
        <v>50000</v>
      </c>
    </row>
    <row r="20" spans="2:12" x14ac:dyDescent="0.35">
      <c r="B20" s="14" t="s">
        <v>105</v>
      </c>
      <c r="C20" s="12" t="s">
        <v>13</v>
      </c>
      <c r="D20" s="28">
        <f>HLOOKUP('Input - Output'!S$4,Machines!$J$5:$S$20,16,FALSE)</f>
        <v>0.32252425799086759</v>
      </c>
      <c r="E20" s="28">
        <f>HLOOKUP('Input - Output'!T$4,Machines!$J$5:$S$20,16,FALSE)</f>
        <v>3.4888698630136985</v>
      </c>
      <c r="F20" s="28">
        <f>HLOOKUP('Input - Output'!U$4,Machines!$J$5:$S$20,16,FALSE)</f>
        <v>21.404109589041095</v>
      </c>
      <c r="G20" s="28">
        <f>HLOOKUP('Input - Output'!V$4,Machines!$J$5:$S$20,16,FALSE)</f>
        <v>5.7077625570776256</v>
      </c>
      <c r="J20" s="41"/>
    </row>
    <row r="21" spans="2:12" x14ac:dyDescent="0.35"/>
    <row r="22" spans="2:12" x14ac:dyDescent="0.35"/>
    <row r="23" spans="2:12" x14ac:dyDescent="0.35">
      <c r="K23" s="9"/>
      <c r="L23" s="9"/>
    </row>
    <row r="24" spans="2:12" x14ac:dyDescent="0.35">
      <c r="B24" s="146" t="s">
        <v>27</v>
      </c>
      <c r="C24" s="147"/>
      <c r="D24" s="32" t="s">
        <v>2</v>
      </c>
    </row>
    <row r="25" spans="2:12" x14ac:dyDescent="0.35">
      <c r="B25" s="148"/>
      <c r="C25" s="149"/>
      <c r="D25" s="16" t="str">
        <f>HLOOKUP('Input - Output'!U$5,Machines!$J$24:$S$36,1,FALSE)</f>
        <v xml:space="preserve">TR60/LS </v>
      </c>
    </row>
    <row r="26" spans="2:12" x14ac:dyDescent="0.35">
      <c r="B26" s="13" t="s">
        <v>124</v>
      </c>
      <c r="C26" s="11" t="s">
        <v>7</v>
      </c>
      <c r="D26" s="38">
        <f>HLOOKUP('Input - Output'!U$5,Machines!$J$24:$S$36,2,FALSE)</f>
        <v>5</v>
      </c>
    </row>
    <row r="27" spans="2:12" x14ac:dyDescent="0.35">
      <c r="B27" s="13" t="s">
        <v>38</v>
      </c>
      <c r="C27" s="11" t="s">
        <v>5</v>
      </c>
      <c r="D27" s="38">
        <f>HLOOKUP('Input - Output'!U$5,Machines!$J$24:$S$36,3,FALSE)</f>
        <v>350</v>
      </c>
    </row>
    <row r="28" spans="2:12" x14ac:dyDescent="0.35">
      <c r="B28" s="13" t="s">
        <v>36</v>
      </c>
      <c r="C28" s="11" t="s">
        <v>5</v>
      </c>
      <c r="D28" s="38">
        <f>HLOOKUP('Input - Output'!U$5,Machines!$J$24:$S$36,4,FALSE)</f>
        <v>450</v>
      </c>
    </row>
    <row r="29" spans="2:12" x14ac:dyDescent="0.35">
      <c r="B29" s="13" t="s">
        <v>37</v>
      </c>
      <c r="C29" s="11" t="s">
        <v>5</v>
      </c>
      <c r="D29" s="38">
        <f>HLOOKUP('Input - Output'!U$5,Machines!$J$24:$S$36,5,FALSE)</f>
        <v>360</v>
      </c>
    </row>
    <row r="30" spans="2:12" x14ac:dyDescent="0.35">
      <c r="B30" s="13" t="s">
        <v>119</v>
      </c>
      <c r="C30" s="11" t="s">
        <v>7</v>
      </c>
      <c r="D30" s="38">
        <f>HLOOKUP('Input - Output'!U$5,Machines!$J$24:$S$36,6,FALSE)</f>
        <v>0.5</v>
      </c>
    </row>
    <row r="31" spans="2:12" x14ac:dyDescent="0.35">
      <c r="B31" s="13" t="s">
        <v>112</v>
      </c>
      <c r="C31" s="11" t="s">
        <v>6</v>
      </c>
      <c r="D31" s="38">
        <f>HLOOKUP('Input - Output'!U$5,Machines!$J$24:$S$36,7,FALSE)</f>
        <v>6800</v>
      </c>
    </row>
    <row r="32" spans="2:12" x14ac:dyDescent="0.35">
      <c r="B32" s="13" t="s">
        <v>113</v>
      </c>
      <c r="C32" s="11" t="s">
        <v>115</v>
      </c>
      <c r="D32" s="38">
        <f>HLOOKUP('Input - Output'!U$5,Machines!$J$24:$S$36,8,FALSE)</f>
        <v>4</v>
      </c>
    </row>
    <row r="33" spans="2:6" x14ac:dyDescent="0.35">
      <c r="B33" s="13" t="s">
        <v>116</v>
      </c>
      <c r="C33" s="11" t="s">
        <v>11</v>
      </c>
      <c r="D33" s="38">
        <f>HLOOKUP('Input - Output'!U$5,Machines!$J$24:$S$36,9,FALSE)</f>
        <v>30</v>
      </c>
    </row>
    <row r="34" spans="2:6" x14ac:dyDescent="0.35">
      <c r="B34" s="13" t="s">
        <v>109</v>
      </c>
      <c r="C34" s="11" t="s">
        <v>6</v>
      </c>
      <c r="D34" s="38">
        <f>HLOOKUP('Input - Output'!U$5,Machines!$J$24:$S$36,10,FALSE)</f>
        <v>20</v>
      </c>
    </row>
    <row r="35" spans="2:6" x14ac:dyDescent="0.35">
      <c r="B35" s="13" t="s">
        <v>110</v>
      </c>
      <c r="C35" s="11" t="s">
        <v>6</v>
      </c>
      <c r="D35" s="38">
        <f>HLOOKUP('Input - Output'!U$5,Machines!$J$24:$S$36,11,FALSE)</f>
        <v>25</v>
      </c>
    </row>
    <row r="36" spans="2:6" x14ac:dyDescent="0.35">
      <c r="B36" s="14" t="s">
        <v>105</v>
      </c>
      <c r="C36" s="12" t="s">
        <v>13</v>
      </c>
      <c r="D36" s="28">
        <f>HLOOKUP('Input - Output'!U$5,Machines!$J$24:$S$36,12,FALSE)</f>
        <v>0.64687975646879758</v>
      </c>
    </row>
    <row r="37" spans="2:6" x14ac:dyDescent="0.35"/>
    <row r="38" spans="2:6" x14ac:dyDescent="0.35"/>
    <row r="39" spans="2:6" x14ac:dyDescent="0.35"/>
    <row r="40" spans="2:6" x14ac:dyDescent="0.35">
      <c r="B40" s="146" t="s">
        <v>29</v>
      </c>
      <c r="C40" s="147"/>
      <c r="D40" s="31" t="s">
        <v>0</v>
      </c>
      <c r="E40" s="32" t="s">
        <v>2</v>
      </c>
      <c r="F40" s="48" t="s">
        <v>33</v>
      </c>
    </row>
    <row r="41" spans="2:6" x14ac:dyDescent="0.35">
      <c r="B41" s="148"/>
      <c r="C41" s="149"/>
      <c r="D41" s="17" t="str">
        <f>HLOOKUP('Input - Output'!S$6,Machines!$J$39:$S$54,1,FALSE)</f>
        <v>Aim3D</v>
      </c>
      <c r="E41" s="17" t="str">
        <f>HLOOKUP('Input - Output'!U$6,Machines!$J$39:$S$54,1,FALSE)</f>
        <v>NA 120/45</v>
      </c>
      <c r="F41" s="17" t="str">
        <f>HLOOKUP('Input - Output'!V$6,Machines!$J$39:$S$54,1,FALSE)</f>
        <v>NA 120/45</v>
      </c>
    </row>
    <row r="42" spans="2:6" x14ac:dyDescent="0.35">
      <c r="B42" s="13" t="s">
        <v>124</v>
      </c>
      <c r="C42" s="11" t="s">
        <v>7</v>
      </c>
      <c r="D42" s="38" t="str">
        <f>HLOOKUP('Input - Output'!S$6,Machines!$J$39:$S$54,2,FALSE)</f>
        <v>-</v>
      </c>
      <c r="E42" s="38">
        <f>HLOOKUP('Input - Output'!U$6,Machines!$J$39:$S$54,2,FALSE)</f>
        <v>5</v>
      </c>
      <c r="F42" s="38">
        <f>HLOOKUP('Input - Output'!V$6,Machines!$J$39:$S$54,2,FALSE)</f>
        <v>5</v>
      </c>
    </row>
    <row r="43" spans="2:6" x14ac:dyDescent="0.35">
      <c r="B43" s="13" t="s">
        <v>38</v>
      </c>
      <c r="C43" s="11" t="s">
        <v>5</v>
      </c>
      <c r="D43" s="38" t="str">
        <f>HLOOKUP('Input - Output'!S$6,Machines!$J$39:$S$54,3,FALSE)</f>
        <v>-</v>
      </c>
      <c r="E43" s="38">
        <f>HLOOKUP('Input - Output'!U$6,Machines!$J$39:$S$54,3,FALSE)</f>
        <v>450</v>
      </c>
      <c r="F43" s="38">
        <f>HLOOKUP('Input - Output'!V$6,Machines!$J$39:$S$54,3,FALSE)</f>
        <v>450</v>
      </c>
    </row>
    <row r="44" spans="2:6" x14ac:dyDescent="0.35">
      <c r="B44" s="13" t="s">
        <v>36</v>
      </c>
      <c r="C44" s="11" t="s">
        <v>5</v>
      </c>
      <c r="D44" s="38" t="str">
        <f>HLOOKUP('Input - Output'!S$6,Machines!$J$39:$S$54,4,FALSE)</f>
        <v>-</v>
      </c>
      <c r="E44" s="38">
        <f>HLOOKUP('Input - Output'!U$6,Machines!$J$39:$S$54,4,FALSE)</f>
        <v>600</v>
      </c>
      <c r="F44" s="38">
        <f>HLOOKUP('Input - Output'!V$6,Machines!$J$39:$S$54,4,FALSE)</f>
        <v>600</v>
      </c>
    </row>
    <row r="45" spans="2:6" hidden="1" x14ac:dyDescent="0.35">
      <c r="B45" s="13" t="s">
        <v>4</v>
      </c>
      <c r="C45" s="11" t="s">
        <v>5</v>
      </c>
      <c r="D45" s="38" t="str">
        <f>HLOOKUP('Input - Output'!S$6,Machines!$J$39:$S$54,5,FALSE)</f>
        <v>-</v>
      </c>
      <c r="E45" s="38">
        <f>HLOOKUP('Input - Output'!U$6,Machines!$J$39:$S$54,5,FALSE)</f>
        <v>450</v>
      </c>
      <c r="F45" s="38">
        <f>HLOOKUP('Input - Output'!V$6,Machines!$J$39:$S$54,5,FALSE)</f>
        <v>450</v>
      </c>
    </row>
    <row r="46" spans="2:6" x14ac:dyDescent="0.35">
      <c r="B46" s="13" t="s">
        <v>118</v>
      </c>
      <c r="C46" s="11" t="s">
        <v>5</v>
      </c>
      <c r="D46" s="38" t="str">
        <f>HLOOKUP('Input - Output'!S$6,Machines!$J$39:$S$54,6,FALSE)</f>
        <v>-</v>
      </c>
      <c r="E46" s="38">
        <f>HLOOKUP('Input - Output'!U$6,Machines!$J$39:$S$54,6,FALSE)</f>
        <v>20</v>
      </c>
      <c r="F46" s="38">
        <f>HLOOKUP('Input - Output'!V$6,Machines!$J$39:$S$54,6,FALSE)</f>
        <v>20</v>
      </c>
    </row>
    <row r="47" spans="2:6" x14ac:dyDescent="0.35">
      <c r="B47" s="13" t="s">
        <v>125</v>
      </c>
      <c r="C47" s="11" t="s">
        <v>9</v>
      </c>
      <c r="D47" s="38">
        <f>HLOOKUP('Input - Output'!S$6,Machines!$J$39:$S$54,7,FALSE)</f>
        <v>18356</v>
      </c>
      <c r="E47" s="38" t="str">
        <f>HLOOKUP('Input - Output'!U$6,Machines!$J$39:$S$54,7,FALSE)</f>
        <v>-</v>
      </c>
      <c r="F47" s="38" t="str">
        <f>HLOOKUP('Input - Output'!V$6,Machines!$J$39:$S$54,7,FALSE)</f>
        <v>-</v>
      </c>
    </row>
    <row r="48" spans="2:6" x14ac:dyDescent="0.35">
      <c r="B48" s="13" t="s">
        <v>121</v>
      </c>
      <c r="C48" s="11" t="s">
        <v>11</v>
      </c>
      <c r="D48" s="38">
        <f>HLOOKUP('Input - Output'!S$6,Machines!$J$39:$S$54,8,FALSE)</f>
        <v>69</v>
      </c>
      <c r="E48" s="38" t="str">
        <f>HLOOKUP('Input - Output'!U$6,Machines!$J$39:$S$54,8,FALSE)</f>
        <v>-</v>
      </c>
      <c r="F48" s="38" t="str">
        <f>HLOOKUP('Input - Output'!V$6,Machines!$J$39:$S$54,8,FALSE)</f>
        <v>-</v>
      </c>
    </row>
    <row r="49" spans="2:6" x14ac:dyDescent="0.35">
      <c r="B49" s="13" t="s">
        <v>119</v>
      </c>
      <c r="C49" s="11" t="s">
        <v>7</v>
      </c>
      <c r="D49" s="38">
        <f>HLOOKUP('Input - Output'!S$6,Machines!$J$39:$S$54,9,FALSE)</f>
        <v>0.5</v>
      </c>
      <c r="E49" s="38">
        <f>HLOOKUP('Input - Output'!U$6,Machines!$J$39:$S$54,9,FALSE)</f>
        <v>0.5</v>
      </c>
      <c r="F49" s="38">
        <f>HLOOKUP('Input - Output'!V$6,Machines!$J$39:$S$54,9,FALSE)</f>
        <v>0.5</v>
      </c>
    </row>
    <row r="50" spans="2:6" x14ac:dyDescent="0.35">
      <c r="B50" s="13" t="s">
        <v>112</v>
      </c>
      <c r="C50" s="11" t="s">
        <v>6</v>
      </c>
      <c r="D50" s="38">
        <f>HLOOKUP('Input - Output'!S$6,Machines!$J$39:$S$54,10,FALSE)</f>
        <v>500</v>
      </c>
      <c r="E50" s="38">
        <f>HLOOKUP('Input - Output'!U$6,Machines!$J$39:$S$54,10,FALSE)</f>
        <v>16000</v>
      </c>
      <c r="F50" s="38">
        <f>HLOOKUP('Input - Output'!V$6,Machines!$J$39:$S$54,10,FALSE)</f>
        <v>16000</v>
      </c>
    </row>
    <row r="51" spans="2:6" x14ac:dyDescent="0.35">
      <c r="B51" s="13" t="s">
        <v>113</v>
      </c>
      <c r="C51" s="11" t="s">
        <v>115</v>
      </c>
      <c r="D51" s="38">
        <f>HLOOKUP('Input - Output'!S$6,Machines!$J$39:$S$54,11,FALSE)</f>
        <v>4</v>
      </c>
      <c r="E51" s="38">
        <f>HLOOKUP('Input - Output'!U$6,Machines!$J$39:$S$54,11,FALSE)</f>
        <v>4</v>
      </c>
      <c r="F51" s="38">
        <f>HLOOKUP('Input - Output'!V$6,Machines!$J$39:$S$54,11,FALSE)</f>
        <v>4</v>
      </c>
    </row>
    <row r="52" spans="2:6" x14ac:dyDescent="0.35">
      <c r="B52" s="13" t="s">
        <v>116</v>
      </c>
      <c r="C52" s="11" t="s">
        <v>11</v>
      </c>
      <c r="D52" s="38">
        <f>HLOOKUP('Input - Output'!S$6,Machines!$J$39:$S$54,12,FALSE)</f>
        <v>5</v>
      </c>
      <c r="E52" s="38">
        <f>HLOOKUP('Input - Output'!U$6,Machines!$J$39:$S$54,12,FALSE)</f>
        <v>30</v>
      </c>
      <c r="F52" s="38">
        <f>HLOOKUP('Input - Output'!V$6,Machines!$J$39:$S$54,12,FALSE)</f>
        <v>30</v>
      </c>
    </row>
    <row r="53" spans="2:6" x14ac:dyDescent="0.35">
      <c r="B53" s="13" t="s">
        <v>126</v>
      </c>
      <c r="C53" s="11" t="s">
        <v>8</v>
      </c>
      <c r="D53" s="38">
        <f>HLOOKUP('Input - Output'!S$6,Machines!$J$39:$S$54,13,FALSE)</f>
        <v>700</v>
      </c>
      <c r="E53" s="38" t="str">
        <f>HLOOKUP('Input - Output'!U$6,Machines!$J$39:$S$54,13,FALSE)</f>
        <v>-</v>
      </c>
      <c r="F53" s="38" t="str">
        <f>HLOOKUP('Input - Output'!V$6,Machines!$J$39:$S$54,13,FALSE)</f>
        <v>-</v>
      </c>
    </row>
    <row r="54" spans="2:6" x14ac:dyDescent="0.35">
      <c r="B54" s="13" t="s">
        <v>109</v>
      </c>
      <c r="C54" s="11" t="s">
        <v>6</v>
      </c>
      <c r="D54" s="38">
        <f>HLOOKUP('Input - Output'!S$6,Machines!$J$39:$S$54,14,FALSE)</f>
        <v>25</v>
      </c>
      <c r="E54" s="38">
        <f>HLOOKUP('Input - Output'!U$6,Machines!$J$39:$S$54,14,FALSE)</f>
        <v>25</v>
      </c>
      <c r="F54" s="38">
        <f>HLOOKUP('Input - Output'!V$6,Machines!$J$39:$S$54,14,FALSE)</f>
        <v>25</v>
      </c>
    </row>
    <row r="55" spans="2:6" x14ac:dyDescent="0.35">
      <c r="B55" s="13" t="s">
        <v>110</v>
      </c>
      <c r="C55" s="11" t="s">
        <v>6</v>
      </c>
      <c r="D55" s="38">
        <f>HLOOKUP('Input - Output'!S$6,Machines!$J$39:$S$54,15,FALSE)</f>
        <v>30</v>
      </c>
      <c r="E55" s="38">
        <f>HLOOKUP('Input - Output'!U$6,Machines!$J$39:$S$54,15,FALSE)</f>
        <v>30</v>
      </c>
      <c r="F55" s="38">
        <f>HLOOKUP('Input - Output'!V$6,Machines!$J$39:$S$54,15,FALSE)</f>
        <v>30</v>
      </c>
    </row>
    <row r="56" spans="2:6" x14ac:dyDescent="0.35">
      <c r="B56" s="14" t="s">
        <v>105</v>
      </c>
      <c r="C56" s="12" t="s">
        <v>13</v>
      </c>
      <c r="D56" s="28">
        <f>HLOOKUP('Input - Output'!S$6,Machines!$J$39:$S$54,16,FALSE)</f>
        <v>0.28538812785388129</v>
      </c>
      <c r="E56" s="28">
        <f>HLOOKUP('Input - Output'!U$6,Machines!$J$39:$S$54,16,FALSE)</f>
        <v>1.5220700152207001</v>
      </c>
      <c r="F56" s="28">
        <f>HLOOKUP('Input - Output'!V$6,Machines!$J$39:$S$54,16,FALSE)</f>
        <v>1.5220700152207001</v>
      </c>
    </row>
    <row r="57" spans="2:6" x14ac:dyDescent="0.35"/>
    <row r="58" spans="2:6" x14ac:dyDescent="0.35"/>
    <row r="59" spans="2:6" x14ac:dyDescent="0.35"/>
    <row r="60" spans="2:6" x14ac:dyDescent="0.35">
      <c r="B60" s="146" t="s">
        <v>10</v>
      </c>
      <c r="C60" s="147"/>
      <c r="D60" s="31" t="s">
        <v>0</v>
      </c>
      <c r="E60" s="49" t="s">
        <v>2</v>
      </c>
      <c r="F60" s="48" t="s">
        <v>33</v>
      </c>
    </row>
    <row r="61" spans="2:6" ht="29" x14ac:dyDescent="0.35">
      <c r="B61" s="148"/>
      <c r="C61" s="149"/>
      <c r="D61" s="17" t="str">
        <f>HLOOKUP('Input - Output'!S$7,Machines!$J$58:$S$70,1,FALSE)</f>
        <v>Aim3D</v>
      </c>
      <c r="E61" s="17" t="str">
        <f>HLOOKUP('Input - Output'!U$7,Machines!$J$58:$S$70,1,FALSE)</f>
        <v>VHT 25/16‑MO</v>
      </c>
      <c r="F61" s="17" t="str">
        <f>HLOOKUP('Input - Output'!V$7,Machines!$J$58:$S$70,1,FALSE)</f>
        <v>VHT 25/16‑MO</v>
      </c>
    </row>
    <row r="62" spans="2:6" x14ac:dyDescent="0.35">
      <c r="B62" s="13" t="s">
        <v>124</v>
      </c>
      <c r="C62" s="11" t="s">
        <v>7</v>
      </c>
      <c r="D62" s="38">
        <f>HLOOKUP('Input - Output'!S$7,Machines!$J$58:$S$70,2,FALSE)</f>
        <v>15</v>
      </c>
      <c r="E62" s="38">
        <f>HLOOKUP('Input - Output'!U$7,Machines!$J$58:$S$70,2,FALSE)</f>
        <v>15</v>
      </c>
      <c r="F62" s="38">
        <f>HLOOKUP('Input - Output'!V$7,Machines!$J$58:$S$70,2,FALSE)</f>
        <v>15</v>
      </c>
    </row>
    <row r="63" spans="2:6" x14ac:dyDescent="0.35">
      <c r="B63" s="13" t="s">
        <v>36</v>
      </c>
      <c r="C63" s="11" t="s">
        <v>5</v>
      </c>
      <c r="D63" s="38">
        <f>HLOOKUP('Input - Output'!S$7,Machines!$J$58:$S$70,3,FALSE)</f>
        <v>90</v>
      </c>
      <c r="E63" s="38">
        <f>HLOOKUP('Input - Output'!U$7,Machines!$J$58:$S$70,3,FALSE)</f>
        <v>400</v>
      </c>
      <c r="F63" s="38">
        <f>HLOOKUP('Input - Output'!V$7,Machines!$J$58:$S$70,3,FALSE)</f>
        <v>400</v>
      </c>
    </row>
    <row r="64" spans="2:6" x14ac:dyDescent="0.35">
      <c r="B64" s="13" t="s">
        <v>37</v>
      </c>
      <c r="C64" s="11" t="s">
        <v>5</v>
      </c>
      <c r="D64" s="38">
        <f>HLOOKUP('Input - Output'!S$7,Machines!$J$58:$S$70,4,FALSE)</f>
        <v>90</v>
      </c>
      <c r="E64" s="38">
        <f>HLOOKUP('Input - Output'!U$7,Machines!$J$58:$S$70,4,FALSE)</f>
        <v>250</v>
      </c>
      <c r="F64" s="38">
        <f>HLOOKUP('Input - Output'!V$7,Machines!$J$58:$S$70,4,FALSE)</f>
        <v>250</v>
      </c>
    </row>
    <row r="65" spans="2:6" x14ac:dyDescent="0.35">
      <c r="B65" s="13" t="s">
        <v>38</v>
      </c>
      <c r="C65" s="11" t="s">
        <v>5</v>
      </c>
      <c r="D65" s="38">
        <f>HLOOKUP('Input - Output'!S$7,Machines!$J$58:$S$70,5,FALSE)</f>
        <v>90</v>
      </c>
      <c r="E65" s="38">
        <f>HLOOKUP('Input - Output'!U$7,Machines!$J$58:$S$70,5,FALSE)</f>
        <v>250</v>
      </c>
      <c r="F65" s="38">
        <f>HLOOKUP('Input - Output'!V$7,Machines!$J$58:$S$70,5,FALSE)</f>
        <v>250</v>
      </c>
    </row>
    <row r="66" spans="2:6" x14ac:dyDescent="0.35">
      <c r="B66" s="13" t="s">
        <v>118</v>
      </c>
      <c r="C66" s="11" t="s">
        <v>5</v>
      </c>
      <c r="D66" s="38">
        <f>HLOOKUP('Input - Output'!S$7,Machines!$J$58:$S$70,6,FALSE)</f>
        <v>3</v>
      </c>
      <c r="E66" s="38">
        <f>HLOOKUP('Input - Output'!U$7,Machines!$J$58:$S$70,6,FALSE)</f>
        <v>10</v>
      </c>
      <c r="F66" s="38">
        <f>HLOOKUP('Input - Output'!V$7,Machines!$J$58:$S$70,6,FALSE)</f>
        <v>10</v>
      </c>
    </row>
    <row r="67" spans="2:6" x14ac:dyDescent="0.35">
      <c r="B67" s="13" t="s">
        <v>119</v>
      </c>
      <c r="C67" s="11" t="s">
        <v>7</v>
      </c>
      <c r="D67" s="38">
        <f>HLOOKUP('Input - Output'!S$7,Machines!$J$58:$S$70,7,FALSE)</f>
        <v>0.5</v>
      </c>
      <c r="E67" s="38">
        <f>HLOOKUP('Input - Output'!U$7,Machines!$J$58:$S$70,7,FALSE)</f>
        <v>0.5</v>
      </c>
      <c r="F67" s="38">
        <f>HLOOKUP('Input - Output'!V$7,Machines!$J$58:$S$70,7,FALSE)</f>
        <v>0.5</v>
      </c>
    </row>
    <row r="68" spans="2:6" x14ac:dyDescent="0.35">
      <c r="B68" s="13" t="s">
        <v>112</v>
      </c>
      <c r="C68" s="11" t="s">
        <v>6</v>
      </c>
      <c r="D68" s="38">
        <f>HLOOKUP('Input - Output'!S$7,Machines!$J$58:$S$70,8,FALSE)</f>
        <v>17490</v>
      </c>
      <c r="E68" s="38">
        <f>HLOOKUP('Input - Output'!U$7,Machines!$J$58:$S$70,8,FALSE)</f>
        <v>210000</v>
      </c>
      <c r="F68" s="38">
        <f>HLOOKUP('Input - Output'!V$7,Machines!$J$58:$S$70,8,FALSE)</f>
        <v>210000</v>
      </c>
    </row>
    <row r="69" spans="2:6" x14ac:dyDescent="0.35">
      <c r="B69" s="13" t="s">
        <v>113</v>
      </c>
      <c r="C69" s="11" t="s">
        <v>115</v>
      </c>
      <c r="D69" s="38">
        <f>HLOOKUP('Input - Output'!S$7,Machines!$J$58:$S$70,9,FALSE)</f>
        <v>5</v>
      </c>
      <c r="E69" s="38">
        <f>HLOOKUP('Input - Output'!U$7,Machines!$J$58:$S$70,9,FALSE)</f>
        <v>5</v>
      </c>
      <c r="F69" s="38">
        <f>HLOOKUP('Input - Output'!V$7,Machines!$J$58:$S$70,9,FALSE)</f>
        <v>5</v>
      </c>
    </row>
    <row r="70" spans="2:6" x14ac:dyDescent="0.35">
      <c r="B70" s="13" t="s">
        <v>116</v>
      </c>
      <c r="C70" s="11" t="s">
        <v>11</v>
      </c>
      <c r="D70" s="38">
        <f>HLOOKUP('Input - Output'!S$7,Machines!$J$58:$S$70,10,FALSE)</f>
        <v>50</v>
      </c>
      <c r="E70" s="38">
        <f>HLOOKUP('Input - Output'!U$7,Machines!$J$58:$S$70,10,FALSE)</f>
        <v>50</v>
      </c>
      <c r="F70" s="38">
        <f>HLOOKUP('Input - Output'!V$7,Machines!$J$58:$S$70,10,FALSE)</f>
        <v>50</v>
      </c>
    </row>
    <row r="71" spans="2:6" x14ac:dyDescent="0.35">
      <c r="B71" s="13" t="s">
        <v>109</v>
      </c>
      <c r="C71" s="11" t="s">
        <v>6</v>
      </c>
      <c r="D71" s="38">
        <f>HLOOKUP('Input - Output'!S$7,Machines!$J$58:$S$70,11,FALSE)</f>
        <v>40</v>
      </c>
      <c r="E71" s="38">
        <f>HLOOKUP('Input - Output'!U$7,Machines!$J$58:$S$70,11,FALSE)</f>
        <v>40</v>
      </c>
      <c r="F71" s="38">
        <f>HLOOKUP('Input - Output'!V$7,Machines!$J$58:$S$70,11,FALSE)</f>
        <v>40</v>
      </c>
    </row>
    <row r="72" spans="2:6" x14ac:dyDescent="0.35">
      <c r="B72" s="13" t="s">
        <v>110</v>
      </c>
      <c r="C72" s="11" t="s">
        <v>6</v>
      </c>
      <c r="D72" s="38">
        <f>HLOOKUP('Input - Output'!S$7,Machines!$J$58:$S$70,12,FALSE)</f>
        <v>50</v>
      </c>
      <c r="E72" s="38">
        <f>HLOOKUP('Input - Output'!U$7,Machines!$J$58:$S$70,12,FALSE)</f>
        <v>50</v>
      </c>
      <c r="F72" s="38">
        <f>HLOOKUP('Input - Output'!V$7,Machines!$J$58:$S$70,12,FALSE)</f>
        <v>50</v>
      </c>
    </row>
    <row r="73" spans="2:6" x14ac:dyDescent="0.35">
      <c r="B73" s="14" t="s">
        <v>105</v>
      </c>
      <c r="C73" s="12" t="s">
        <v>13</v>
      </c>
      <c r="D73" s="28">
        <f>HLOOKUP('Input - Output'!S$7,Machines!$J$58:$S$70,13,FALSE)</f>
        <v>0.79863013698630136</v>
      </c>
      <c r="E73" s="28">
        <f>HLOOKUP('Input - Output'!U$7,Machines!$J$58:$S$70,13,FALSE)</f>
        <v>9.5890410958904102</v>
      </c>
      <c r="F73" s="28">
        <f>HLOOKUP('Input - Output'!V$7,Machines!$J$58:$S$70,13,FALSE)</f>
        <v>9.5890410958904102</v>
      </c>
    </row>
    <row r="74" spans="2:6" x14ac:dyDescent="0.35"/>
    <row r="75" spans="2:6" x14ac:dyDescent="0.35"/>
    <row r="76" spans="2:6" x14ac:dyDescent="0.35"/>
    <row r="77" spans="2:6" x14ac:dyDescent="0.35">
      <c r="B77" s="146" t="s">
        <v>28</v>
      </c>
      <c r="C77" s="147"/>
      <c r="D77" s="32" t="s">
        <v>1</v>
      </c>
    </row>
    <row r="78" spans="2:6" x14ac:dyDescent="0.35">
      <c r="B78" s="148"/>
      <c r="C78" s="149"/>
      <c r="D78" s="16" t="str">
        <f>HLOOKUP('Input - Output'!T$8,Machines!$J$74:$S$86,1,FALSE)</f>
        <v>NR 25/11</v>
      </c>
    </row>
    <row r="79" spans="2:6" x14ac:dyDescent="0.35">
      <c r="B79" s="13" t="s">
        <v>124</v>
      </c>
      <c r="C79" s="11" t="s">
        <v>7</v>
      </c>
      <c r="D79" s="38">
        <f>HLOOKUP('Input - Output'!T$8,Machines!$J$74:$S$86,2,FALSE)</f>
        <v>24</v>
      </c>
    </row>
    <row r="80" spans="2:6" x14ac:dyDescent="0.35">
      <c r="B80" s="13" t="s">
        <v>38</v>
      </c>
      <c r="C80" s="11" t="s">
        <v>5</v>
      </c>
      <c r="D80" s="38">
        <f>HLOOKUP('Input - Output'!T$8,Machines!$J$74:$S$86,3,FALSE)</f>
        <v>450</v>
      </c>
    </row>
    <row r="81" spans="2:4" x14ac:dyDescent="0.35">
      <c r="B81" s="13" t="s">
        <v>36</v>
      </c>
      <c r="C81" s="11" t="s">
        <v>5</v>
      </c>
      <c r="D81" s="38">
        <f>HLOOKUP('Input - Output'!T$8,Machines!$J$74:$S$86,4,FALSE)</f>
        <v>750</v>
      </c>
    </row>
    <row r="82" spans="2:4" x14ac:dyDescent="0.35">
      <c r="B82" s="13" t="s">
        <v>37</v>
      </c>
      <c r="C82" s="11" t="s">
        <v>5</v>
      </c>
      <c r="D82" s="38">
        <f>HLOOKUP('Input - Output'!T$8,Machines!$J$74:$S$86,5,FALSE)</f>
        <v>450</v>
      </c>
    </row>
    <row r="83" spans="2:4" x14ac:dyDescent="0.35">
      <c r="B83" s="13" t="s">
        <v>118</v>
      </c>
      <c r="C83" s="11" t="s">
        <v>5</v>
      </c>
      <c r="D83" s="38">
        <f>HLOOKUP('Input - Output'!T$8,Machines!$J$74:$S$86,6,FALSE)</f>
        <v>10</v>
      </c>
    </row>
    <row r="84" spans="2:4" x14ac:dyDescent="0.35">
      <c r="B84" s="13" t="s">
        <v>119</v>
      </c>
      <c r="C84" s="11" t="s">
        <v>7</v>
      </c>
      <c r="D84" s="38">
        <f>HLOOKUP('Input - Output'!T$8,Machines!$J$74:$S$86,7,FALSE)</f>
        <v>0.5</v>
      </c>
    </row>
    <row r="85" spans="2:4" x14ac:dyDescent="0.35">
      <c r="B85" s="13" t="s">
        <v>112</v>
      </c>
      <c r="C85" s="11" t="s">
        <v>6</v>
      </c>
      <c r="D85" s="38">
        <f>HLOOKUP('Input - Output'!T$8,Machines!$J$74:$S$86,8,FALSE)</f>
        <v>49500</v>
      </c>
    </row>
    <row r="86" spans="2:4" x14ac:dyDescent="0.35">
      <c r="B86" s="13" t="s">
        <v>113</v>
      </c>
      <c r="C86" s="11" t="s">
        <v>115</v>
      </c>
      <c r="D86" s="38">
        <f>HLOOKUP('Input - Output'!T$8,Machines!$J$74:$S$86,9,FALSE)</f>
        <v>5</v>
      </c>
    </row>
    <row r="87" spans="2:4" x14ac:dyDescent="0.35">
      <c r="B87" s="13" t="s">
        <v>116</v>
      </c>
      <c r="C87" s="11" t="s">
        <v>11</v>
      </c>
      <c r="D87" s="38">
        <f>HLOOKUP('Input - Output'!T$8,Machines!$J$74:$S$86,10,FALSE)</f>
        <v>50</v>
      </c>
    </row>
    <row r="88" spans="2:4" x14ac:dyDescent="0.35">
      <c r="B88" s="13" t="s">
        <v>109</v>
      </c>
      <c r="C88" s="11" t="s">
        <v>6</v>
      </c>
      <c r="D88" s="38">
        <f>HLOOKUP('Input - Output'!T$8,Machines!$J$74:$S$86,11,FALSE)</f>
        <v>30</v>
      </c>
    </row>
    <row r="89" spans="2:4" x14ac:dyDescent="0.35">
      <c r="B89" s="13" t="s">
        <v>110</v>
      </c>
      <c r="C89" s="11" t="s">
        <v>6</v>
      </c>
      <c r="D89" s="38">
        <f>HLOOKUP('Input - Output'!T$8,Machines!$J$74:$S$86,12,FALSE)</f>
        <v>35</v>
      </c>
    </row>
    <row r="90" spans="2:4" x14ac:dyDescent="0.35">
      <c r="B90" s="14" t="s">
        <v>105</v>
      </c>
      <c r="C90" s="12" t="s">
        <v>13</v>
      </c>
      <c r="D90" s="28">
        <f>HLOOKUP('Input - Output'!T$8,Machines!$J$74:$S$86,13,FALSE)</f>
        <v>2.2602739726027399</v>
      </c>
    </row>
    <row r="91" spans="2:4" x14ac:dyDescent="0.35"/>
    <row r="92" spans="2:4" x14ac:dyDescent="0.35"/>
  </sheetData>
  <sheetProtection sheet="1" selectLockedCells="1"/>
  <mergeCells count="10">
    <mergeCell ref="L2:O2"/>
    <mergeCell ref="P2:S2"/>
    <mergeCell ref="B77:C78"/>
    <mergeCell ref="U9:V9"/>
    <mergeCell ref="I4:I8"/>
    <mergeCell ref="B4:C5"/>
    <mergeCell ref="U4:U7"/>
    <mergeCell ref="B24:C25"/>
    <mergeCell ref="B40:C41"/>
    <mergeCell ref="B60:C61"/>
  </mergeCells>
  <phoneticPr fontId="4" type="noConversion"/>
  <pageMargins left="0.7" right="0.7" top="0.78740157499999996" bottom="0.78740157499999996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topLeftCell="A73" zoomScaleNormal="100" workbookViewId="0">
      <selection activeCell="K43" sqref="K43"/>
    </sheetView>
  </sheetViews>
  <sheetFormatPr baseColWidth="10" defaultColWidth="0" defaultRowHeight="14.5" zeroHeight="1" x14ac:dyDescent="0.35"/>
  <cols>
    <col min="1" max="1" width="4.54296875" customWidth="1"/>
    <col min="2" max="2" width="22.26953125" customWidth="1"/>
    <col min="3" max="3" width="33.54296875" customWidth="1"/>
    <col min="4" max="4" width="21.1796875" customWidth="1"/>
    <col min="5" max="5" width="21.36328125" customWidth="1"/>
    <col min="6" max="7" width="3.81640625" customWidth="1"/>
    <col min="8" max="8" width="18.1796875" customWidth="1"/>
    <col min="9" max="12" width="11.453125" customWidth="1"/>
    <col min="13" max="13" width="21" customWidth="1"/>
    <col min="14" max="14" width="16" customWidth="1"/>
    <col min="15" max="15" width="24.36328125" customWidth="1"/>
    <col min="16" max="20" width="11.453125" customWidth="1"/>
    <col min="21" max="26" width="0" hidden="1" customWidth="1"/>
    <col min="27" max="16384" width="11.453125" hidden="1"/>
  </cols>
  <sheetData>
    <row r="1" spans="1:26" x14ac:dyDescent="0.35">
      <c r="A1" s="55"/>
      <c r="B1" s="55"/>
      <c r="C1" s="55"/>
      <c r="D1" s="55"/>
      <c r="E1" s="55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6" x14ac:dyDescent="0.35">
      <c r="A2" s="55"/>
      <c r="B2" s="55"/>
      <c r="C2" s="55"/>
      <c r="D2" s="55"/>
      <c r="E2" s="55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6" x14ac:dyDescent="0.35">
      <c r="A3" s="55"/>
      <c r="B3" s="55"/>
      <c r="C3" s="55"/>
      <c r="D3" s="55"/>
      <c r="E3" s="55"/>
      <c r="F3" s="54"/>
      <c r="G3" s="54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" customHeight="1" x14ac:dyDescent="0.35">
      <c r="A4" s="55"/>
      <c r="B4" s="55"/>
      <c r="C4" s="55"/>
      <c r="D4" s="55"/>
      <c r="E4" s="55"/>
      <c r="F4" s="54"/>
      <c r="G4" s="54"/>
      <c r="H4" s="146" t="s">
        <v>42</v>
      </c>
      <c r="I4" s="147"/>
      <c r="J4" s="99" t="s">
        <v>0</v>
      </c>
      <c r="K4" s="99" t="s">
        <v>1</v>
      </c>
      <c r="L4" s="99" t="s">
        <v>2</v>
      </c>
      <c r="M4" s="100" t="s">
        <v>33</v>
      </c>
      <c r="N4" s="99" t="s">
        <v>1</v>
      </c>
      <c r="O4" s="99" t="s">
        <v>0</v>
      </c>
      <c r="P4" s="99"/>
      <c r="Q4" s="99"/>
      <c r="R4" s="99"/>
      <c r="S4" s="99"/>
      <c r="T4" s="9"/>
      <c r="U4" s="9"/>
      <c r="V4" s="9"/>
      <c r="W4" s="9"/>
      <c r="X4" s="9"/>
      <c r="Y4" s="9"/>
      <c r="Z4" s="9"/>
    </row>
    <row r="5" spans="1:26" x14ac:dyDescent="0.35">
      <c r="A5" s="55"/>
      <c r="B5" s="56" t="s">
        <v>66</v>
      </c>
      <c r="C5" s="56" t="s">
        <v>67</v>
      </c>
      <c r="D5" s="56" t="s">
        <v>68</v>
      </c>
      <c r="E5" s="56" t="s">
        <v>69</v>
      </c>
      <c r="F5" s="54"/>
      <c r="G5" s="54"/>
      <c r="H5" s="148"/>
      <c r="I5" s="149"/>
      <c r="J5" s="101" t="s">
        <v>16</v>
      </c>
      <c r="K5" s="101" t="s">
        <v>17</v>
      </c>
      <c r="L5" s="101" t="s">
        <v>15</v>
      </c>
      <c r="M5" s="104" t="s">
        <v>70</v>
      </c>
      <c r="N5" s="101" t="s">
        <v>63</v>
      </c>
      <c r="O5" s="101" t="s">
        <v>64</v>
      </c>
      <c r="P5" s="101"/>
      <c r="Q5" s="101"/>
      <c r="R5" s="101"/>
      <c r="S5" s="101"/>
      <c r="T5" s="9"/>
      <c r="U5" s="9"/>
      <c r="V5" s="9"/>
      <c r="W5" s="9"/>
      <c r="X5" s="9"/>
      <c r="Y5" s="9"/>
      <c r="Z5" s="9"/>
    </row>
    <row r="6" spans="1:26" x14ac:dyDescent="0.35">
      <c r="A6" s="55"/>
      <c r="B6" s="102" t="s">
        <v>16</v>
      </c>
      <c r="C6" s="103" t="s">
        <v>17</v>
      </c>
      <c r="D6" s="103" t="s">
        <v>15</v>
      </c>
      <c r="E6" s="103" t="s">
        <v>70</v>
      </c>
      <c r="F6" s="54"/>
      <c r="G6" s="54"/>
      <c r="H6" s="13" t="s">
        <v>38</v>
      </c>
      <c r="I6" s="11" t="s">
        <v>5</v>
      </c>
      <c r="J6" s="91">
        <v>180</v>
      </c>
      <c r="K6" s="91">
        <v>365</v>
      </c>
      <c r="L6" s="91">
        <v>69</v>
      </c>
      <c r="M6" s="107">
        <v>470</v>
      </c>
      <c r="N6" s="107">
        <v>150</v>
      </c>
      <c r="O6" s="107">
        <v>180</v>
      </c>
      <c r="P6" s="91"/>
      <c r="Q6" s="91"/>
      <c r="R6" s="91"/>
      <c r="S6" s="91"/>
      <c r="T6" s="9"/>
      <c r="U6" s="9"/>
      <c r="V6" s="9"/>
      <c r="W6" s="9"/>
      <c r="X6" s="9"/>
      <c r="Y6" s="9"/>
      <c r="Z6" s="9"/>
    </row>
    <row r="7" spans="1:26" x14ac:dyDescent="0.35">
      <c r="A7" s="55"/>
      <c r="B7" s="103" t="s">
        <v>64</v>
      </c>
      <c r="C7" s="103" t="s">
        <v>63</v>
      </c>
      <c r="D7" s="102"/>
      <c r="E7" s="102"/>
      <c r="F7" s="54"/>
      <c r="G7" s="54"/>
      <c r="H7" s="13" t="s">
        <v>36</v>
      </c>
      <c r="I7" s="11" t="s">
        <v>5</v>
      </c>
      <c r="J7" s="91">
        <v>300</v>
      </c>
      <c r="K7" s="91">
        <v>280</v>
      </c>
      <c r="L7" s="91">
        <v>203</v>
      </c>
      <c r="M7" s="107">
        <v>470</v>
      </c>
      <c r="N7" s="107">
        <v>150</v>
      </c>
      <c r="O7" s="107">
        <v>280</v>
      </c>
      <c r="P7" s="91"/>
      <c r="Q7" s="91"/>
      <c r="R7" s="91"/>
      <c r="S7" s="91"/>
      <c r="T7" s="9"/>
      <c r="U7" s="9"/>
      <c r="V7" s="9"/>
      <c r="W7" s="9"/>
      <c r="X7" s="9"/>
      <c r="Y7" s="9"/>
      <c r="Z7" s="9"/>
    </row>
    <row r="8" spans="1:26" x14ac:dyDescent="0.35">
      <c r="A8" s="55"/>
      <c r="B8" s="102"/>
      <c r="C8" s="102"/>
      <c r="D8" s="102"/>
      <c r="E8" s="102"/>
      <c r="F8" s="54"/>
      <c r="G8" s="54"/>
      <c r="H8" s="13" t="s">
        <v>37</v>
      </c>
      <c r="I8" s="11" t="s">
        <v>5</v>
      </c>
      <c r="J8" s="91">
        <v>200</v>
      </c>
      <c r="K8" s="91">
        <v>280</v>
      </c>
      <c r="L8" s="91">
        <v>180</v>
      </c>
      <c r="M8" s="107">
        <v>470</v>
      </c>
      <c r="N8" s="107">
        <v>150</v>
      </c>
      <c r="O8" s="107">
        <v>200</v>
      </c>
      <c r="P8" s="91"/>
      <c r="Q8" s="91"/>
      <c r="R8" s="91"/>
      <c r="S8" s="91"/>
      <c r="T8" s="9"/>
      <c r="U8" s="9"/>
      <c r="V8" s="9"/>
      <c r="W8" s="9"/>
      <c r="X8" s="9"/>
      <c r="Y8" s="9"/>
      <c r="Z8" s="9"/>
    </row>
    <row r="9" spans="1:26" x14ac:dyDescent="0.35">
      <c r="A9" s="55"/>
      <c r="B9" s="102"/>
      <c r="C9" s="102"/>
      <c r="D9" s="102"/>
      <c r="E9" s="102"/>
      <c r="F9" s="54"/>
      <c r="G9" s="54"/>
      <c r="H9" s="13" t="s">
        <v>118</v>
      </c>
      <c r="I9" s="11" t="s">
        <v>5</v>
      </c>
      <c r="J9" s="91">
        <v>3</v>
      </c>
      <c r="K9" s="91">
        <v>10</v>
      </c>
      <c r="L9" s="91">
        <v>3</v>
      </c>
      <c r="M9" s="107">
        <v>3</v>
      </c>
      <c r="N9" s="107">
        <v>3</v>
      </c>
      <c r="O9" s="107">
        <v>2</v>
      </c>
      <c r="P9" s="91"/>
      <c r="Q9" s="91"/>
      <c r="R9" s="91"/>
      <c r="S9" s="91"/>
      <c r="T9" s="9"/>
      <c r="U9" s="9"/>
      <c r="V9" s="9"/>
      <c r="W9" s="9"/>
      <c r="X9" s="9"/>
      <c r="Y9" s="9"/>
      <c r="Z9" s="9"/>
    </row>
    <row r="10" spans="1:26" x14ac:dyDescent="0.35">
      <c r="A10" s="55"/>
      <c r="B10" s="55"/>
      <c r="C10" s="55"/>
      <c r="D10" s="55"/>
      <c r="E10" s="55"/>
      <c r="F10" s="54"/>
      <c r="G10" s="54"/>
      <c r="H10" s="13" t="s">
        <v>119</v>
      </c>
      <c r="I10" s="11" t="s">
        <v>7</v>
      </c>
      <c r="J10" s="91">
        <v>0.5</v>
      </c>
      <c r="K10" s="91">
        <v>1</v>
      </c>
      <c r="L10" s="91">
        <v>0.5</v>
      </c>
      <c r="M10" s="107">
        <v>1</v>
      </c>
      <c r="N10" s="107">
        <v>0.5</v>
      </c>
      <c r="O10" s="107">
        <v>0.5</v>
      </c>
      <c r="P10" s="91"/>
      <c r="Q10" s="91"/>
      <c r="R10" s="91"/>
      <c r="S10" s="91"/>
      <c r="T10" s="9"/>
      <c r="U10" s="9"/>
      <c r="V10" s="9"/>
      <c r="W10" s="9"/>
      <c r="X10" s="9"/>
      <c r="Y10" s="9"/>
      <c r="Z10" s="9"/>
    </row>
    <row r="11" spans="1:26" x14ac:dyDescent="0.35">
      <c r="A11" s="55"/>
      <c r="B11" s="55"/>
      <c r="C11" s="55"/>
      <c r="D11" s="55"/>
      <c r="E11" s="55"/>
      <c r="F11" s="54"/>
      <c r="G11" s="54"/>
      <c r="H11" s="13" t="s">
        <v>120</v>
      </c>
      <c r="I11" s="11" t="s">
        <v>11</v>
      </c>
      <c r="J11" s="91">
        <v>40</v>
      </c>
      <c r="K11" s="91" t="s">
        <v>14</v>
      </c>
      <c r="L11" s="91">
        <v>10</v>
      </c>
      <c r="M11" s="107">
        <v>10</v>
      </c>
      <c r="N11" s="107">
        <v>40</v>
      </c>
      <c r="O11" s="107">
        <v>40</v>
      </c>
      <c r="P11" s="91"/>
      <c r="Q11" s="91"/>
      <c r="R11" s="91"/>
      <c r="S11" s="91"/>
      <c r="T11" s="9"/>
      <c r="U11" s="9"/>
      <c r="V11" s="9"/>
      <c r="W11" s="9"/>
      <c r="X11" s="9"/>
      <c r="Y11" s="9"/>
      <c r="Z11" s="9"/>
    </row>
    <row r="12" spans="1:26" x14ac:dyDescent="0.35">
      <c r="A12" s="55"/>
      <c r="B12" s="55"/>
      <c r="C12" s="55"/>
      <c r="D12" s="55"/>
      <c r="E12" s="55"/>
      <c r="F12" s="54"/>
      <c r="G12" s="54"/>
      <c r="H12" s="13" t="s">
        <v>121</v>
      </c>
      <c r="I12" s="11" t="s">
        <v>11</v>
      </c>
      <c r="J12" s="91" t="s">
        <v>14</v>
      </c>
      <c r="K12" s="91" t="s">
        <v>14</v>
      </c>
      <c r="L12" s="91">
        <v>74</v>
      </c>
      <c r="M12" s="107">
        <v>74</v>
      </c>
      <c r="N12" s="107" t="s">
        <v>14</v>
      </c>
      <c r="O12" s="107" t="s">
        <v>14</v>
      </c>
      <c r="P12" s="91"/>
      <c r="Q12" s="91"/>
      <c r="R12" s="91"/>
      <c r="S12" s="91"/>
      <c r="T12" s="9"/>
      <c r="U12" s="9"/>
      <c r="V12" s="9"/>
      <c r="W12" s="9"/>
      <c r="X12" s="9"/>
      <c r="Y12" s="9"/>
      <c r="Z12" s="9"/>
    </row>
    <row r="13" spans="1:26" x14ac:dyDescent="0.35">
      <c r="A13" s="55"/>
      <c r="B13" s="55"/>
      <c r="C13" s="55"/>
      <c r="D13" s="55"/>
      <c r="E13" s="55"/>
      <c r="F13" s="54"/>
      <c r="G13" s="54"/>
      <c r="H13" s="13" t="s">
        <v>122</v>
      </c>
      <c r="I13" s="11" t="s">
        <v>11</v>
      </c>
      <c r="J13" s="91">
        <v>10</v>
      </c>
      <c r="K13" s="91">
        <v>30</v>
      </c>
      <c r="L13" s="91">
        <v>0</v>
      </c>
      <c r="M13" s="107">
        <v>0</v>
      </c>
      <c r="N13" s="107">
        <v>10</v>
      </c>
      <c r="O13" s="107">
        <v>10</v>
      </c>
      <c r="P13" s="91"/>
      <c r="Q13" s="91"/>
      <c r="R13" s="91"/>
      <c r="S13" s="91"/>
      <c r="T13" s="9"/>
      <c r="U13" s="9"/>
      <c r="V13" s="9"/>
      <c r="W13" s="9"/>
      <c r="X13" s="9"/>
      <c r="Y13" s="9"/>
      <c r="Z13" s="9"/>
    </row>
    <row r="14" spans="1:26" x14ac:dyDescent="0.35">
      <c r="A14" s="55"/>
      <c r="B14" s="55"/>
      <c r="C14" s="55"/>
      <c r="D14" s="55"/>
      <c r="E14" s="55"/>
      <c r="F14" s="54"/>
      <c r="G14" s="54"/>
      <c r="H14" s="13" t="s">
        <v>112</v>
      </c>
      <c r="I14" s="11" t="s">
        <v>6</v>
      </c>
      <c r="J14" s="91">
        <v>99500</v>
      </c>
      <c r="K14" s="91">
        <v>450000</v>
      </c>
      <c r="L14" s="91">
        <v>600000</v>
      </c>
      <c r="M14" s="107">
        <v>160000</v>
      </c>
      <c r="N14" s="107">
        <v>97800</v>
      </c>
      <c r="O14" s="107">
        <v>9041</v>
      </c>
      <c r="P14" s="91"/>
      <c r="Q14" s="91"/>
      <c r="R14" s="91"/>
      <c r="S14" s="91"/>
      <c r="T14" s="9"/>
      <c r="U14" s="9"/>
      <c r="V14" s="9"/>
      <c r="W14" s="9"/>
      <c r="X14" s="9"/>
      <c r="Y14" s="9"/>
      <c r="Z14" s="9"/>
    </row>
    <row r="15" spans="1:26" x14ac:dyDescent="0.35">
      <c r="A15" s="55"/>
      <c r="B15" s="55"/>
      <c r="C15" s="55"/>
      <c r="D15" s="55"/>
      <c r="E15" s="55"/>
      <c r="F15" s="54"/>
      <c r="G15" s="54"/>
      <c r="H15" s="13" t="s">
        <v>113</v>
      </c>
      <c r="I15" s="11" t="s">
        <v>114</v>
      </c>
      <c r="J15" s="91">
        <v>4</v>
      </c>
      <c r="K15" s="91">
        <v>4</v>
      </c>
      <c r="L15" s="91">
        <v>4</v>
      </c>
      <c r="M15" s="107">
        <v>4</v>
      </c>
      <c r="N15" s="107">
        <v>4</v>
      </c>
      <c r="O15" s="107">
        <v>4</v>
      </c>
      <c r="P15" s="91"/>
      <c r="Q15" s="91"/>
      <c r="R15" s="91"/>
      <c r="S15" s="91"/>
      <c r="T15" s="9"/>
      <c r="U15" s="9"/>
      <c r="V15" s="9"/>
      <c r="W15" s="9"/>
      <c r="X15" s="9"/>
      <c r="Y15" s="9"/>
      <c r="Z15" s="9"/>
    </row>
    <row r="16" spans="1:26" x14ac:dyDescent="0.35">
      <c r="A16" s="55"/>
      <c r="B16" s="55"/>
      <c r="C16" s="55"/>
      <c r="D16" s="55"/>
      <c r="E16" s="55"/>
      <c r="F16" s="54"/>
      <c r="G16" s="54"/>
      <c r="H16" s="13" t="s">
        <v>116</v>
      </c>
      <c r="I16" s="11" t="s">
        <v>11</v>
      </c>
      <c r="J16" s="91">
        <v>80</v>
      </c>
      <c r="K16" s="91">
        <v>80</v>
      </c>
      <c r="L16" s="91">
        <v>80</v>
      </c>
      <c r="M16" s="107">
        <v>80</v>
      </c>
      <c r="N16" s="107">
        <v>80</v>
      </c>
      <c r="O16" s="107">
        <v>80</v>
      </c>
      <c r="P16" s="91"/>
      <c r="Q16" s="91"/>
      <c r="R16" s="91"/>
      <c r="S16" s="91"/>
      <c r="T16" s="9"/>
      <c r="U16" s="9"/>
      <c r="V16" s="9"/>
      <c r="W16" s="9"/>
      <c r="X16" s="9"/>
      <c r="Y16" s="9"/>
      <c r="Z16" s="9"/>
    </row>
    <row r="17" spans="1:26" x14ac:dyDescent="0.35">
      <c r="A17" s="55"/>
      <c r="B17" s="55"/>
      <c r="C17" s="55"/>
      <c r="D17" s="55"/>
      <c r="E17" s="55"/>
      <c r="F17" s="54"/>
      <c r="G17" s="54"/>
      <c r="H17" s="13" t="s">
        <v>109</v>
      </c>
      <c r="I17" s="11" t="s">
        <v>6</v>
      </c>
      <c r="J17" s="91">
        <v>20</v>
      </c>
      <c r="K17" s="91">
        <v>30</v>
      </c>
      <c r="L17" s="91">
        <v>35</v>
      </c>
      <c r="M17" s="107">
        <v>35</v>
      </c>
      <c r="N17" s="107">
        <v>20</v>
      </c>
      <c r="O17" s="107">
        <v>20</v>
      </c>
      <c r="P17" s="91"/>
      <c r="Q17" s="91"/>
      <c r="R17" s="91"/>
      <c r="S17" s="91"/>
      <c r="T17" s="9"/>
      <c r="U17" s="9"/>
      <c r="V17" s="9"/>
      <c r="W17" s="9"/>
      <c r="X17" s="9"/>
      <c r="Y17" s="9"/>
      <c r="Z17" s="9"/>
    </row>
    <row r="18" spans="1:26" x14ac:dyDescent="0.35">
      <c r="A18" s="55"/>
      <c r="B18" s="55"/>
      <c r="C18" s="55"/>
      <c r="D18" s="55"/>
      <c r="E18" s="55"/>
      <c r="F18" s="54"/>
      <c r="G18" s="54"/>
      <c r="H18" s="13" t="s">
        <v>110</v>
      </c>
      <c r="I18" s="11" t="s">
        <v>6</v>
      </c>
      <c r="J18" s="91">
        <v>25</v>
      </c>
      <c r="K18" s="91">
        <v>35</v>
      </c>
      <c r="L18" s="91">
        <v>45</v>
      </c>
      <c r="M18" s="107">
        <v>45</v>
      </c>
      <c r="N18" s="107">
        <v>25</v>
      </c>
      <c r="O18" s="107">
        <v>25</v>
      </c>
      <c r="P18" s="91"/>
      <c r="Q18" s="91"/>
      <c r="R18" s="91"/>
      <c r="S18" s="91"/>
      <c r="T18" s="9"/>
      <c r="U18" s="9"/>
      <c r="V18" s="9"/>
      <c r="W18" s="9"/>
      <c r="X18" s="9"/>
      <c r="Y18" s="9"/>
      <c r="Z18" s="9"/>
    </row>
    <row r="19" spans="1:26" x14ac:dyDescent="0.35">
      <c r="A19" s="55"/>
      <c r="B19" s="55"/>
      <c r="C19" s="55"/>
      <c r="D19" s="55"/>
      <c r="E19" s="55"/>
      <c r="F19" s="54"/>
      <c r="G19" s="54"/>
      <c r="H19" s="13" t="s">
        <v>123</v>
      </c>
      <c r="I19" s="11" t="s">
        <v>6</v>
      </c>
      <c r="J19" s="91" t="s">
        <v>14</v>
      </c>
      <c r="K19" s="91" t="s">
        <v>14</v>
      </c>
      <c r="L19" s="91" t="s">
        <v>14</v>
      </c>
      <c r="M19" s="107">
        <v>50000</v>
      </c>
      <c r="N19" s="107" t="s">
        <v>14</v>
      </c>
      <c r="O19" s="107" t="s">
        <v>14</v>
      </c>
      <c r="P19" s="91"/>
      <c r="Q19" s="91"/>
      <c r="R19" s="91"/>
      <c r="S19" s="91"/>
      <c r="T19" s="9"/>
      <c r="U19" s="9"/>
      <c r="V19" s="9"/>
      <c r="W19" s="9"/>
      <c r="X19" s="9"/>
      <c r="Y19" s="9"/>
      <c r="Z19" s="9"/>
    </row>
    <row r="20" spans="1:26" x14ac:dyDescent="0.35">
      <c r="A20" s="55"/>
      <c r="B20" s="55"/>
      <c r="C20" s="55"/>
      <c r="D20" s="55"/>
      <c r="E20" s="55"/>
      <c r="F20" s="54"/>
      <c r="G20" s="54"/>
      <c r="H20" s="14" t="s">
        <v>105</v>
      </c>
      <c r="I20" s="12" t="s">
        <v>13</v>
      </c>
      <c r="J20" s="28">
        <f>J14/(J15*365*24*J16/100)</f>
        <v>3.5495148401826486</v>
      </c>
      <c r="K20" s="28">
        <f>K14/(K15*365*24*K16/100)</f>
        <v>16.05308219178082</v>
      </c>
      <c r="L20" s="28">
        <f>L14/(L15*365*24*L16/100)</f>
        <v>21.404109589041095</v>
      </c>
      <c r="M20" s="28">
        <f>M14/(M15*365*24*M16/100)</f>
        <v>5.7077625570776256</v>
      </c>
      <c r="N20" s="28">
        <f>N14/(N15*365*24*N16/100)</f>
        <v>3.4888698630136985</v>
      </c>
      <c r="O20" s="28">
        <f t="shared" ref="O20:S20" si="0">O14/(O15*365*24*O16/100)</f>
        <v>0.32252425799086759</v>
      </c>
      <c r="P20" s="28" t="e">
        <f t="shared" si="0"/>
        <v>#DIV/0!</v>
      </c>
      <c r="Q20" s="28" t="e">
        <f t="shared" si="0"/>
        <v>#DIV/0!</v>
      </c>
      <c r="R20" s="28" t="e">
        <f t="shared" si="0"/>
        <v>#DIV/0!</v>
      </c>
      <c r="S20" s="28" t="e">
        <f t="shared" si="0"/>
        <v>#DIV/0!</v>
      </c>
      <c r="T20" s="9"/>
      <c r="U20" s="9"/>
      <c r="V20" s="9"/>
      <c r="W20" s="9"/>
      <c r="X20" s="9"/>
      <c r="Y20" s="9"/>
      <c r="Z20" s="9"/>
    </row>
    <row r="21" spans="1:26" x14ac:dyDescent="0.35">
      <c r="A21" s="55"/>
      <c r="B21" s="55"/>
      <c r="C21" s="55"/>
      <c r="D21" s="55"/>
      <c r="E21" s="55"/>
      <c r="F21" s="54"/>
      <c r="G21" s="54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35">
      <c r="A22" s="55"/>
      <c r="B22" s="55"/>
      <c r="C22" s="55"/>
      <c r="D22" s="55"/>
      <c r="E22" s="55"/>
      <c r="F22" s="54"/>
      <c r="G22" s="54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x14ac:dyDescent="0.35">
      <c r="A23" s="55"/>
      <c r="B23" s="55"/>
      <c r="C23" s="55"/>
      <c r="D23" s="55"/>
      <c r="E23" s="55"/>
      <c r="F23" s="54"/>
      <c r="G23" s="54"/>
      <c r="H23" s="146" t="s">
        <v>43</v>
      </c>
      <c r="I23" s="147"/>
      <c r="J23" s="100" t="s">
        <v>2</v>
      </c>
      <c r="K23" s="100"/>
      <c r="L23" s="100"/>
      <c r="M23" s="100"/>
      <c r="N23" s="100"/>
      <c r="O23" s="100"/>
      <c r="P23" s="100"/>
      <c r="Q23" s="100"/>
      <c r="R23" s="100"/>
      <c r="S23" s="100"/>
      <c r="T23" s="9"/>
      <c r="U23" s="9"/>
      <c r="V23" s="9"/>
      <c r="W23" s="9"/>
      <c r="X23" s="9"/>
      <c r="Y23" s="9"/>
      <c r="Z23" s="9"/>
    </row>
    <row r="24" spans="1:26" x14ac:dyDescent="0.35">
      <c r="A24" s="55"/>
      <c r="B24" s="55"/>
      <c r="C24" s="55"/>
      <c r="D24" s="56" t="s">
        <v>61</v>
      </c>
      <c r="E24" s="55"/>
      <c r="F24" s="54"/>
      <c r="G24" s="54"/>
      <c r="H24" s="148"/>
      <c r="I24" s="149"/>
      <c r="J24" s="104" t="s">
        <v>26</v>
      </c>
      <c r="K24" s="104"/>
      <c r="L24" s="104"/>
      <c r="M24" s="104"/>
      <c r="N24" s="104"/>
      <c r="O24" s="104"/>
      <c r="P24" s="104"/>
      <c r="Q24" s="104"/>
      <c r="R24" s="104"/>
      <c r="S24" s="104"/>
      <c r="T24" s="9"/>
      <c r="U24" s="9"/>
      <c r="V24" s="9"/>
      <c r="W24" s="9"/>
      <c r="X24" s="9"/>
      <c r="Y24" s="9"/>
      <c r="Z24" s="9"/>
    </row>
    <row r="25" spans="1:26" x14ac:dyDescent="0.35">
      <c r="A25" s="55"/>
      <c r="B25" s="55"/>
      <c r="C25" s="55"/>
      <c r="D25" s="103" t="s">
        <v>26</v>
      </c>
      <c r="E25" s="55"/>
      <c r="F25" s="54"/>
      <c r="G25" s="54"/>
      <c r="H25" s="13" t="s">
        <v>117</v>
      </c>
      <c r="I25" s="11" t="s">
        <v>7</v>
      </c>
      <c r="J25" s="91">
        <v>5</v>
      </c>
      <c r="K25" s="91"/>
      <c r="L25" s="91"/>
      <c r="M25" s="91"/>
      <c r="N25" s="91"/>
      <c r="O25" s="91"/>
      <c r="P25" s="91"/>
      <c r="Q25" s="91"/>
      <c r="R25" s="91"/>
      <c r="S25" s="91"/>
      <c r="T25" s="9"/>
      <c r="U25" s="9"/>
      <c r="V25" s="9"/>
      <c r="W25" s="9"/>
      <c r="X25" s="9"/>
      <c r="Y25" s="9"/>
      <c r="Z25" s="9"/>
    </row>
    <row r="26" spans="1:26" x14ac:dyDescent="0.35">
      <c r="A26" s="55"/>
      <c r="B26" s="55"/>
      <c r="C26" s="55"/>
      <c r="D26" s="102"/>
      <c r="E26" s="55"/>
      <c r="F26" s="54"/>
      <c r="G26" s="54"/>
      <c r="H26" s="13" t="s">
        <v>38</v>
      </c>
      <c r="I26" s="11" t="s">
        <v>5</v>
      </c>
      <c r="J26" s="91">
        <v>350</v>
      </c>
      <c r="K26" s="91"/>
      <c r="L26" s="91"/>
      <c r="M26" s="91"/>
      <c r="N26" s="91"/>
      <c r="O26" s="91"/>
      <c r="P26" s="91"/>
      <c r="Q26" s="91"/>
      <c r="R26" s="91"/>
      <c r="S26" s="91"/>
      <c r="T26" s="9"/>
      <c r="U26" s="9"/>
      <c r="V26" s="9"/>
      <c r="W26" s="9"/>
      <c r="X26" s="9"/>
      <c r="Y26" s="9"/>
      <c r="Z26" s="9"/>
    </row>
    <row r="27" spans="1:26" x14ac:dyDescent="0.35">
      <c r="A27" s="55"/>
      <c r="B27" s="55"/>
      <c r="C27" s="55"/>
      <c r="D27" s="102"/>
      <c r="E27" s="55"/>
      <c r="F27" s="54"/>
      <c r="G27" s="54"/>
      <c r="H27" s="13" t="s">
        <v>36</v>
      </c>
      <c r="I27" s="11" t="s">
        <v>5</v>
      </c>
      <c r="J27" s="91">
        <v>450</v>
      </c>
      <c r="K27" s="91"/>
      <c r="L27" s="91"/>
      <c r="M27" s="91"/>
      <c r="N27" s="91"/>
      <c r="O27" s="91"/>
      <c r="P27" s="91"/>
      <c r="Q27" s="91"/>
      <c r="R27" s="91"/>
      <c r="S27" s="91"/>
      <c r="T27" s="9"/>
      <c r="U27" s="9"/>
      <c r="V27" s="9"/>
      <c r="W27" s="9"/>
      <c r="X27" s="9"/>
      <c r="Y27" s="9"/>
      <c r="Z27" s="9"/>
    </row>
    <row r="28" spans="1:26" x14ac:dyDescent="0.35">
      <c r="A28" s="55"/>
      <c r="B28" s="55"/>
      <c r="C28" s="55"/>
      <c r="D28" s="102"/>
      <c r="E28" s="55"/>
      <c r="F28" s="54"/>
      <c r="G28" s="54"/>
      <c r="H28" s="13" t="s">
        <v>37</v>
      </c>
      <c r="I28" s="11" t="s">
        <v>5</v>
      </c>
      <c r="J28" s="91">
        <v>360</v>
      </c>
      <c r="K28" s="91"/>
      <c r="L28" s="91"/>
      <c r="M28" s="91"/>
      <c r="N28" s="91"/>
      <c r="O28" s="91"/>
      <c r="P28" s="91"/>
      <c r="Q28" s="91"/>
      <c r="R28" s="91"/>
      <c r="S28" s="91"/>
      <c r="T28" s="9"/>
      <c r="U28" s="9"/>
      <c r="V28" s="9"/>
      <c r="W28" s="9"/>
      <c r="X28" s="9"/>
      <c r="Y28" s="9"/>
      <c r="Z28" s="9"/>
    </row>
    <row r="29" spans="1:26" x14ac:dyDescent="0.35">
      <c r="A29" s="55"/>
      <c r="B29" s="55"/>
      <c r="C29" s="55"/>
      <c r="D29" s="55"/>
      <c r="E29" s="55"/>
      <c r="F29" s="54"/>
      <c r="G29" s="54"/>
      <c r="H29" s="13" t="s">
        <v>119</v>
      </c>
      <c r="I29" s="11" t="s">
        <v>7</v>
      </c>
      <c r="J29" s="91">
        <v>0.5</v>
      </c>
      <c r="K29" s="91"/>
      <c r="L29" s="91"/>
      <c r="M29" s="91"/>
      <c r="N29" s="91"/>
      <c r="O29" s="91"/>
      <c r="P29" s="91"/>
      <c r="Q29" s="91"/>
      <c r="R29" s="91"/>
      <c r="S29" s="91"/>
      <c r="T29" s="9"/>
      <c r="U29" s="9"/>
      <c r="V29" s="9"/>
      <c r="W29" s="9"/>
      <c r="X29" s="9"/>
      <c r="Y29" s="9"/>
      <c r="Z29" s="9"/>
    </row>
    <row r="30" spans="1:26" x14ac:dyDescent="0.35">
      <c r="A30" s="55"/>
      <c r="B30" s="55"/>
      <c r="C30" s="55"/>
      <c r="D30" s="55"/>
      <c r="E30" s="55"/>
      <c r="F30" s="54"/>
      <c r="G30" s="54"/>
      <c r="H30" s="13" t="s">
        <v>112</v>
      </c>
      <c r="I30" s="11" t="s">
        <v>6</v>
      </c>
      <c r="J30" s="91">
        <v>6800</v>
      </c>
      <c r="K30" s="91"/>
      <c r="L30" s="91"/>
      <c r="M30" s="91"/>
      <c r="N30" s="91"/>
      <c r="O30" s="91"/>
      <c r="P30" s="91"/>
      <c r="Q30" s="91"/>
      <c r="R30" s="91"/>
      <c r="S30" s="91"/>
      <c r="T30" s="9"/>
      <c r="U30" s="9"/>
      <c r="V30" s="9"/>
      <c r="W30" s="9"/>
      <c r="X30" s="9"/>
      <c r="Y30" s="9"/>
      <c r="Z30" s="9"/>
    </row>
    <row r="31" spans="1:26" x14ac:dyDescent="0.35">
      <c r="A31" s="55"/>
      <c r="B31" s="55"/>
      <c r="C31" s="55"/>
      <c r="D31" s="55"/>
      <c r="E31" s="55"/>
      <c r="F31" s="54"/>
      <c r="G31" s="54"/>
      <c r="H31" s="13" t="s">
        <v>113</v>
      </c>
      <c r="I31" s="11" t="s">
        <v>114</v>
      </c>
      <c r="J31" s="91">
        <v>4</v>
      </c>
      <c r="K31" s="91"/>
      <c r="L31" s="91"/>
      <c r="M31" s="91"/>
      <c r="N31" s="91"/>
      <c r="O31" s="91"/>
      <c r="P31" s="91"/>
      <c r="Q31" s="91"/>
      <c r="R31" s="91"/>
      <c r="S31" s="91"/>
      <c r="T31" s="9"/>
      <c r="U31" s="9"/>
      <c r="V31" s="9"/>
      <c r="W31" s="9"/>
      <c r="X31" s="9"/>
      <c r="Y31" s="9"/>
      <c r="Z31" s="9"/>
    </row>
    <row r="32" spans="1:26" x14ac:dyDescent="0.35">
      <c r="A32" s="55"/>
      <c r="B32" s="55"/>
      <c r="C32" s="55"/>
      <c r="D32" s="55"/>
      <c r="E32" s="55"/>
      <c r="F32" s="54"/>
      <c r="G32" s="54"/>
      <c r="H32" s="13" t="s">
        <v>116</v>
      </c>
      <c r="I32" s="11" t="s">
        <v>11</v>
      </c>
      <c r="J32" s="91">
        <v>30</v>
      </c>
      <c r="K32" s="91"/>
      <c r="L32" s="91"/>
      <c r="M32" s="91"/>
      <c r="N32" s="91"/>
      <c r="O32" s="91"/>
      <c r="P32" s="91"/>
      <c r="Q32" s="91"/>
      <c r="R32" s="91"/>
      <c r="S32" s="91"/>
      <c r="T32" s="9"/>
      <c r="U32" s="9"/>
      <c r="V32" s="9"/>
      <c r="W32" s="9"/>
      <c r="X32" s="9"/>
      <c r="Y32" s="9"/>
      <c r="Z32" s="9"/>
    </row>
    <row r="33" spans="1:26" x14ac:dyDescent="0.35">
      <c r="A33" s="55"/>
      <c r="B33" s="55"/>
      <c r="C33" s="55"/>
      <c r="D33" s="55"/>
      <c r="E33" s="55"/>
      <c r="F33" s="54"/>
      <c r="G33" s="54"/>
      <c r="H33" s="13" t="s">
        <v>109</v>
      </c>
      <c r="I33" s="11" t="s">
        <v>6</v>
      </c>
      <c r="J33" s="91">
        <v>20</v>
      </c>
      <c r="K33" s="91"/>
      <c r="L33" s="91"/>
      <c r="M33" s="91"/>
      <c r="N33" s="91"/>
      <c r="O33" s="91"/>
      <c r="P33" s="91"/>
      <c r="Q33" s="91"/>
      <c r="R33" s="91"/>
      <c r="S33" s="91"/>
      <c r="T33" s="9"/>
      <c r="U33" s="9"/>
      <c r="V33" s="9"/>
      <c r="W33" s="9"/>
      <c r="X33" s="9"/>
      <c r="Y33" s="9"/>
      <c r="Z33" s="9"/>
    </row>
    <row r="34" spans="1:26" x14ac:dyDescent="0.35">
      <c r="A34" s="55"/>
      <c r="B34" s="55"/>
      <c r="C34" s="55"/>
      <c r="D34" s="55"/>
      <c r="E34" s="55"/>
      <c r="F34" s="54"/>
      <c r="G34" s="54"/>
      <c r="H34" s="13" t="s">
        <v>110</v>
      </c>
      <c r="I34" s="11" t="s">
        <v>6</v>
      </c>
      <c r="J34" s="91">
        <v>25</v>
      </c>
      <c r="K34" s="91"/>
      <c r="L34" s="91"/>
      <c r="M34" s="91"/>
      <c r="N34" s="91"/>
      <c r="O34" s="91"/>
      <c r="P34" s="91"/>
      <c r="Q34" s="91"/>
      <c r="R34" s="91"/>
      <c r="S34" s="91"/>
      <c r="T34" s="9"/>
      <c r="U34" s="9"/>
      <c r="V34" s="9"/>
      <c r="W34" s="9"/>
      <c r="X34" s="9"/>
      <c r="Y34" s="9"/>
      <c r="Z34" s="9"/>
    </row>
    <row r="35" spans="1:26" x14ac:dyDescent="0.35">
      <c r="A35" s="55"/>
      <c r="B35" s="55"/>
      <c r="C35" s="55"/>
      <c r="D35" s="55"/>
      <c r="E35" s="55"/>
      <c r="F35" s="54"/>
      <c r="G35" s="54"/>
      <c r="H35" s="14" t="s">
        <v>105</v>
      </c>
      <c r="I35" s="12" t="s">
        <v>13</v>
      </c>
      <c r="J35" s="28">
        <f>J30/(J31*365*24*J32/100)</f>
        <v>0.64687975646879758</v>
      </c>
      <c r="K35" s="28" t="e">
        <f t="shared" ref="K35:S35" si="1">K30/(K31*365*24*K32/100)</f>
        <v>#DIV/0!</v>
      </c>
      <c r="L35" s="28" t="e">
        <f t="shared" si="1"/>
        <v>#DIV/0!</v>
      </c>
      <c r="M35" s="28" t="e">
        <f t="shared" si="1"/>
        <v>#DIV/0!</v>
      </c>
      <c r="N35" s="28" t="e">
        <f t="shared" si="1"/>
        <v>#DIV/0!</v>
      </c>
      <c r="O35" s="28" t="e">
        <f t="shared" si="1"/>
        <v>#DIV/0!</v>
      </c>
      <c r="P35" s="28" t="e">
        <f t="shared" si="1"/>
        <v>#DIV/0!</v>
      </c>
      <c r="Q35" s="28" t="e">
        <f t="shared" si="1"/>
        <v>#DIV/0!</v>
      </c>
      <c r="R35" s="28" t="e">
        <f t="shared" si="1"/>
        <v>#DIV/0!</v>
      </c>
      <c r="S35" s="28" t="e">
        <f t="shared" si="1"/>
        <v>#DIV/0!</v>
      </c>
      <c r="T35" s="9"/>
      <c r="U35" s="9"/>
      <c r="V35" s="9"/>
      <c r="W35" s="9"/>
      <c r="X35" s="9"/>
      <c r="Y35" s="9"/>
      <c r="Z35" s="9"/>
    </row>
    <row r="36" spans="1:26" x14ac:dyDescent="0.35">
      <c r="A36" s="55"/>
      <c r="B36" s="55"/>
      <c r="C36" s="55"/>
      <c r="D36" s="55"/>
      <c r="E36" s="55"/>
      <c r="F36" s="54"/>
      <c r="G36" s="54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x14ac:dyDescent="0.35">
      <c r="A37" s="55"/>
      <c r="B37" s="55"/>
      <c r="C37" s="55"/>
      <c r="D37" s="55"/>
      <c r="E37" s="55"/>
      <c r="F37" s="54"/>
      <c r="G37" s="54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x14ac:dyDescent="0.35">
      <c r="A38" s="55"/>
      <c r="B38" s="55"/>
      <c r="C38" s="55"/>
      <c r="D38" s="55"/>
      <c r="E38" s="55"/>
      <c r="F38" s="54"/>
      <c r="G38" s="54"/>
      <c r="H38" s="146" t="s">
        <v>44</v>
      </c>
      <c r="I38" s="147"/>
      <c r="J38" s="99" t="s">
        <v>0</v>
      </c>
      <c r="K38" s="100" t="s">
        <v>2</v>
      </c>
      <c r="L38" s="100" t="s">
        <v>33</v>
      </c>
      <c r="M38" s="100" t="s">
        <v>0</v>
      </c>
      <c r="N38" s="100"/>
      <c r="O38" s="100"/>
      <c r="P38" s="100"/>
      <c r="Q38" s="100"/>
      <c r="R38" s="100"/>
      <c r="S38" s="100"/>
      <c r="T38" s="9"/>
      <c r="U38" s="9"/>
      <c r="V38" s="9"/>
      <c r="W38" s="9"/>
      <c r="X38" s="9"/>
      <c r="Y38" s="9"/>
      <c r="Z38" s="9"/>
    </row>
    <row r="39" spans="1:26" ht="29" x14ac:dyDescent="0.35">
      <c r="A39" s="55"/>
      <c r="B39" s="57" t="s">
        <v>96</v>
      </c>
      <c r="C39" s="51"/>
      <c r="D39" s="57" t="s">
        <v>97</v>
      </c>
      <c r="E39" s="57" t="s">
        <v>98</v>
      </c>
      <c r="F39" s="54"/>
      <c r="G39" s="54"/>
      <c r="H39" s="148"/>
      <c r="I39" s="149"/>
      <c r="J39" s="105" t="s">
        <v>12</v>
      </c>
      <c r="K39" s="104" t="s">
        <v>107</v>
      </c>
      <c r="L39" s="104" t="s">
        <v>24</v>
      </c>
      <c r="M39" s="104" t="s">
        <v>65</v>
      </c>
      <c r="N39" s="104"/>
      <c r="O39" s="104"/>
      <c r="P39" s="104"/>
      <c r="Q39" s="104"/>
      <c r="R39" s="104"/>
      <c r="S39" s="104"/>
      <c r="T39" s="9"/>
      <c r="U39" s="9"/>
      <c r="V39" s="9"/>
      <c r="W39" s="9"/>
      <c r="X39" s="9"/>
      <c r="Y39" s="9"/>
      <c r="Z39" s="9"/>
    </row>
    <row r="40" spans="1:26" ht="15" customHeight="1" x14ac:dyDescent="0.35">
      <c r="A40" s="55"/>
      <c r="B40" s="103" t="s">
        <v>12</v>
      </c>
      <c r="C40" s="51"/>
      <c r="D40" s="103" t="s">
        <v>107</v>
      </c>
      <c r="E40" s="102" t="s">
        <v>24</v>
      </c>
      <c r="F40" s="54"/>
      <c r="G40" s="54"/>
      <c r="H40" s="13" t="s">
        <v>124</v>
      </c>
      <c r="I40" s="11" t="s">
        <v>7</v>
      </c>
      <c r="J40" s="91" t="s">
        <v>14</v>
      </c>
      <c r="K40" s="91">
        <v>5</v>
      </c>
      <c r="L40" s="107">
        <v>5</v>
      </c>
      <c r="M40" s="91" t="s">
        <v>14</v>
      </c>
      <c r="N40" s="91"/>
      <c r="O40" s="91"/>
      <c r="P40" s="91"/>
      <c r="Q40" s="91"/>
      <c r="R40" s="91"/>
      <c r="S40" s="91"/>
      <c r="T40" s="9"/>
      <c r="U40" s="9"/>
      <c r="V40" s="9"/>
      <c r="W40" s="9"/>
      <c r="X40" s="9"/>
      <c r="Y40" s="9"/>
      <c r="Z40" s="9"/>
    </row>
    <row r="41" spans="1:26" x14ac:dyDescent="0.35">
      <c r="A41" s="55"/>
      <c r="B41" s="103" t="s">
        <v>65</v>
      </c>
      <c r="C41" s="51"/>
      <c r="D41" s="102"/>
      <c r="E41" s="102"/>
      <c r="F41" s="54"/>
      <c r="G41" s="54"/>
      <c r="H41" s="13" t="s">
        <v>38</v>
      </c>
      <c r="I41" s="11" t="s">
        <v>5</v>
      </c>
      <c r="J41" s="91" t="s">
        <v>14</v>
      </c>
      <c r="K41" s="91">
        <v>450</v>
      </c>
      <c r="L41" s="107">
        <v>450</v>
      </c>
      <c r="M41" s="91" t="s">
        <v>14</v>
      </c>
      <c r="N41" s="91"/>
      <c r="O41" s="91"/>
      <c r="P41" s="91"/>
      <c r="Q41" s="91"/>
      <c r="R41" s="91"/>
      <c r="S41" s="91"/>
      <c r="T41" s="9"/>
      <c r="U41" s="9"/>
      <c r="V41" s="9"/>
      <c r="W41" s="9"/>
      <c r="X41" s="9"/>
      <c r="Y41" s="9"/>
      <c r="Z41" s="9"/>
    </row>
    <row r="42" spans="1:26" x14ac:dyDescent="0.35">
      <c r="A42" s="55"/>
      <c r="B42" s="102"/>
      <c r="C42" s="51"/>
      <c r="D42" s="102"/>
      <c r="E42" s="102"/>
      <c r="F42" s="54"/>
      <c r="G42" s="54"/>
      <c r="H42" s="13" t="s">
        <v>36</v>
      </c>
      <c r="I42" s="11" t="s">
        <v>5</v>
      </c>
      <c r="J42" s="91" t="s">
        <v>14</v>
      </c>
      <c r="K42" s="91">
        <v>600</v>
      </c>
      <c r="L42" s="107">
        <v>600</v>
      </c>
      <c r="M42" s="91" t="s">
        <v>14</v>
      </c>
      <c r="N42" s="91"/>
      <c r="O42" s="91"/>
      <c r="P42" s="91"/>
      <c r="Q42" s="91"/>
      <c r="R42" s="91"/>
      <c r="S42" s="91"/>
      <c r="T42" s="9"/>
      <c r="U42" s="9"/>
      <c r="V42" s="9"/>
      <c r="W42" s="9"/>
      <c r="X42" s="9"/>
      <c r="Y42" s="9"/>
      <c r="Z42" s="9"/>
    </row>
    <row r="43" spans="1:26" x14ac:dyDescent="0.35">
      <c r="A43" s="55"/>
      <c r="B43" s="102"/>
      <c r="C43" s="51"/>
      <c r="D43" s="102"/>
      <c r="E43" s="102"/>
      <c r="F43" s="54"/>
      <c r="G43" s="54"/>
      <c r="H43" s="13" t="s">
        <v>37</v>
      </c>
      <c r="I43" s="11" t="s">
        <v>5</v>
      </c>
      <c r="J43" s="91" t="s">
        <v>14</v>
      </c>
      <c r="K43" s="91">
        <v>450</v>
      </c>
      <c r="L43" s="107">
        <v>450</v>
      </c>
      <c r="M43" s="91" t="s">
        <v>14</v>
      </c>
      <c r="N43" s="91"/>
      <c r="O43" s="91"/>
      <c r="P43" s="91"/>
      <c r="Q43" s="91"/>
      <c r="R43" s="91"/>
      <c r="S43" s="91"/>
      <c r="T43" s="9"/>
      <c r="U43" s="9"/>
      <c r="V43" s="9"/>
      <c r="W43" s="9"/>
      <c r="X43" s="9"/>
      <c r="Y43" s="9"/>
      <c r="Z43" s="9"/>
    </row>
    <row r="44" spans="1:26" x14ac:dyDescent="0.35">
      <c r="A44" s="55"/>
      <c r="B44" s="55"/>
      <c r="C44" s="55"/>
      <c r="D44" s="55"/>
      <c r="E44" s="55"/>
      <c r="F44" s="54"/>
      <c r="G44" s="54"/>
      <c r="H44" s="13" t="s">
        <v>118</v>
      </c>
      <c r="I44" s="11" t="s">
        <v>5</v>
      </c>
      <c r="J44" s="91" t="s">
        <v>14</v>
      </c>
      <c r="K44" s="91">
        <v>20</v>
      </c>
      <c r="L44" s="107">
        <v>20</v>
      </c>
      <c r="M44" s="91" t="s">
        <v>14</v>
      </c>
      <c r="N44" s="91"/>
      <c r="O44" s="91"/>
      <c r="P44" s="91"/>
      <c r="Q44" s="91"/>
      <c r="R44" s="91"/>
      <c r="S44" s="91"/>
      <c r="T44" s="9"/>
      <c r="U44" s="9"/>
      <c r="V44" s="9"/>
      <c r="W44" s="9"/>
      <c r="X44" s="9"/>
      <c r="Y44" s="9"/>
      <c r="Z44" s="9"/>
    </row>
    <row r="45" spans="1:26" x14ac:dyDescent="0.35">
      <c r="A45" s="55"/>
      <c r="B45" s="55"/>
      <c r="C45" s="55"/>
      <c r="D45" s="55"/>
      <c r="E45" s="55"/>
      <c r="F45" s="54"/>
      <c r="G45" s="54"/>
      <c r="H45" s="13" t="s">
        <v>125</v>
      </c>
      <c r="I45" s="11" t="s">
        <v>9</v>
      </c>
      <c r="J45" s="106">
        <v>18356</v>
      </c>
      <c r="K45" s="91" t="s">
        <v>14</v>
      </c>
      <c r="L45" s="107" t="s">
        <v>14</v>
      </c>
      <c r="M45" s="91">
        <v>18356</v>
      </c>
      <c r="N45" s="91"/>
      <c r="O45" s="91"/>
      <c r="P45" s="91"/>
      <c r="Q45" s="91"/>
      <c r="R45" s="91"/>
      <c r="S45" s="91"/>
      <c r="T45" s="9"/>
      <c r="U45" s="9"/>
      <c r="V45" s="9"/>
      <c r="W45" s="9"/>
      <c r="X45" s="9"/>
      <c r="Y45" s="9"/>
      <c r="Z45" s="9"/>
    </row>
    <row r="46" spans="1:26" x14ac:dyDescent="0.35">
      <c r="A46" s="55"/>
      <c r="B46" s="55"/>
      <c r="C46" s="55"/>
      <c r="D46" s="55"/>
      <c r="E46" s="55"/>
      <c r="F46" s="54"/>
      <c r="G46" s="54"/>
      <c r="H46" s="13" t="s">
        <v>121</v>
      </c>
      <c r="I46" s="11" t="s">
        <v>11</v>
      </c>
      <c r="J46" s="91">
        <v>60</v>
      </c>
      <c r="K46" s="91" t="s">
        <v>14</v>
      </c>
      <c r="L46" s="107" t="s">
        <v>14</v>
      </c>
      <c r="M46" s="91">
        <v>69</v>
      </c>
      <c r="N46" s="91"/>
      <c r="O46" s="91"/>
      <c r="P46" s="91"/>
      <c r="Q46" s="91"/>
      <c r="R46" s="91"/>
      <c r="S46" s="91"/>
      <c r="T46" s="9"/>
      <c r="U46" s="9"/>
      <c r="V46" s="9"/>
      <c r="W46" s="9"/>
      <c r="X46" s="9"/>
      <c r="Y46" s="9"/>
      <c r="Z46" s="9"/>
    </row>
    <row r="47" spans="1:26" x14ac:dyDescent="0.35">
      <c r="A47" s="55"/>
      <c r="B47" s="55"/>
      <c r="C47" s="55"/>
      <c r="D47" s="55"/>
      <c r="E47" s="55"/>
      <c r="F47" s="54"/>
      <c r="G47" s="54"/>
      <c r="H47" s="13" t="s">
        <v>119</v>
      </c>
      <c r="I47" s="11" t="s">
        <v>7</v>
      </c>
      <c r="J47" s="91">
        <v>0.5</v>
      </c>
      <c r="K47" s="91">
        <v>0.5</v>
      </c>
      <c r="L47" s="107">
        <v>0.5</v>
      </c>
      <c r="M47" s="91">
        <v>0.5</v>
      </c>
      <c r="N47" s="91"/>
      <c r="O47" s="91"/>
      <c r="P47" s="91"/>
      <c r="Q47" s="91"/>
      <c r="R47" s="91"/>
      <c r="S47" s="91"/>
      <c r="T47" s="9"/>
      <c r="U47" s="9"/>
      <c r="V47" s="9"/>
      <c r="W47" s="9"/>
      <c r="X47" s="9"/>
      <c r="Y47" s="9"/>
      <c r="Z47" s="9"/>
    </row>
    <row r="48" spans="1:26" x14ac:dyDescent="0.35">
      <c r="A48" s="55"/>
      <c r="B48" s="55"/>
      <c r="C48" s="55"/>
      <c r="D48" s="55"/>
      <c r="E48" s="55"/>
      <c r="F48" s="54"/>
      <c r="G48" s="54"/>
      <c r="H48" s="13" t="s">
        <v>112</v>
      </c>
      <c r="I48" s="11" t="s">
        <v>6</v>
      </c>
      <c r="J48" s="91">
        <v>15000</v>
      </c>
      <c r="K48" s="91">
        <v>16000</v>
      </c>
      <c r="L48" s="107">
        <v>16000</v>
      </c>
      <c r="M48" s="91">
        <v>500</v>
      </c>
      <c r="N48" s="91"/>
      <c r="O48" s="91"/>
      <c r="P48" s="91"/>
      <c r="Q48" s="91"/>
      <c r="R48" s="91"/>
      <c r="S48" s="91"/>
      <c r="T48" s="9"/>
      <c r="U48" s="9"/>
      <c r="V48" s="9"/>
      <c r="W48" s="9"/>
      <c r="X48" s="9"/>
      <c r="Y48" s="9"/>
      <c r="Z48" s="9"/>
    </row>
    <row r="49" spans="1:26" x14ac:dyDescent="0.35">
      <c r="A49" s="55"/>
      <c r="B49" s="55"/>
      <c r="C49" s="55"/>
      <c r="D49" s="55"/>
      <c r="E49" s="55"/>
      <c r="F49" s="54"/>
      <c r="G49" s="54"/>
      <c r="H49" s="13" t="s">
        <v>113</v>
      </c>
      <c r="I49" s="11" t="s">
        <v>114</v>
      </c>
      <c r="J49" s="91">
        <v>4</v>
      </c>
      <c r="K49" s="91">
        <v>4</v>
      </c>
      <c r="L49" s="107">
        <v>4</v>
      </c>
      <c r="M49" s="91">
        <v>4</v>
      </c>
      <c r="N49" s="91"/>
      <c r="O49" s="91"/>
      <c r="P49" s="91"/>
      <c r="Q49" s="91"/>
      <c r="R49" s="91"/>
      <c r="S49" s="91"/>
      <c r="T49" s="9"/>
      <c r="U49" s="9"/>
      <c r="V49" s="9"/>
      <c r="W49" s="9"/>
      <c r="X49" s="9"/>
      <c r="Y49" s="9"/>
      <c r="Z49" s="9"/>
    </row>
    <row r="50" spans="1:26" x14ac:dyDescent="0.35">
      <c r="A50" s="55"/>
      <c r="B50" s="55"/>
      <c r="C50" s="55"/>
      <c r="D50" s="55"/>
      <c r="E50" s="55"/>
      <c r="F50" s="54"/>
      <c r="G50" s="54"/>
      <c r="H50" s="13" t="s">
        <v>116</v>
      </c>
      <c r="I50" s="11" t="s">
        <v>11</v>
      </c>
      <c r="J50" s="91">
        <v>5</v>
      </c>
      <c r="K50" s="91">
        <v>30</v>
      </c>
      <c r="L50" s="107">
        <v>30</v>
      </c>
      <c r="M50" s="91">
        <v>5</v>
      </c>
      <c r="N50" s="91"/>
      <c r="O50" s="91"/>
      <c r="P50" s="91"/>
      <c r="Q50" s="91"/>
      <c r="R50" s="91"/>
      <c r="S50" s="91"/>
      <c r="T50" s="9"/>
      <c r="U50" s="9"/>
      <c r="V50" s="9"/>
      <c r="W50" s="9"/>
      <c r="X50" s="9"/>
      <c r="Y50" s="9"/>
      <c r="Z50" s="9"/>
    </row>
    <row r="51" spans="1:26" x14ac:dyDescent="0.35">
      <c r="A51" s="55"/>
      <c r="B51" s="55"/>
      <c r="C51" s="55"/>
      <c r="D51" s="55"/>
      <c r="E51" s="55"/>
      <c r="F51" s="54"/>
      <c r="G51" s="54"/>
      <c r="H51" s="13" t="s">
        <v>126</v>
      </c>
      <c r="I51" s="11" t="s">
        <v>8</v>
      </c>
      <c r="J51" s="91">
        <v>700</v>
      </c>
      <c r="K51" s="91" t="s">
        <v>14</v>
      </c>
      <c r="L51" s="107" t="s">
        <v>14</v>
      </c>
      <c r="M51" s="91">
        <v>700</v>
      </c>
      <c r="N51" s="91"/>
      <c r="O51" s="91"/>
      <c r="P51" s="91"/>
      <c r="Q51" s="91"/>
      <c r="R51" s="91"/>
      <c r="S51" s="91"/>
      <c r="T51" s="9"/>
      <c r="U51" s="9"/>
      <c r="V51" s="9"/>
      <c r="W51" s="9"/>
      <c r="X51" s="9"/>
      <c r="Y51" s="9"/>
      <c r="Z51" s="9"/>
    </row>
    <row r="52" spans="1:26" x14ac:dyDescent="0.35">
      <c r="A52" s="55"/>
      <c r="B52" s="55"/>
      <c r="C52" s="55"/>
      <c r="D52" s="55"/>
      <c r="E52" s="55"/>
      <c r="F52" s="54"/>
      <c r="G52" s="54"/>
      <c r="H52" s="13" t="s">
        <v>109</v>
      </c>
      <c r="I52" s="11" t="s">
        <v>6</v>
      </c>
      <c r="J52" s="91">
        <v>25</v>
      </c>
      <c r="K52" s="91">
        <v>25</v>
      </c>
      <c r="L52" s="107">
        <v>25</v>
      </c>
      <c r="M52" s="91">
        <v>25</v>
      </c>
      <c r="N52" s="91"/>
      <c r="O52" s="91"/>
      <c r="P52" s="91"/>
      <c r="Q52" s="91"/>
      <c r="R52" s="91"/>
      <c r="S52" s="91"/>
      <c r="T52" s="9"/>
      <c r="U52" s="9"/>
      <c r="V52" s="9"/>
      <c r="W52" s="9"/>
      <c r="X52" s="9"/>
      <c r="Y52" s="9"/>
      <c r="Z52" s="9"/>
    </row>
    <row r="53" spans="1:26" x14ac:dyDescent="0.35">
      <c r="A53" s="55"/>
      <c r="B53" s="55"/>
      <c r="C53" s="55"/>
      <c r="D53" s="55"/>
      <c r="E53" s="55"/>
      <c r="F53" s="54"/>
      <c r="G53" s="54"/>
      <c r="H53" s="13" t="s">
        <v>110</v>
      </c>
      <c r="I53" s="11" t="s">
        <v>6</v>
      </c>
      <c r="J53" s="91">
        <v>30</v>
      </c>
      <c r="K53" s="91">
        <v>30</v>
      </c>
      <c r="L53" s="107">
        <v>30</v>
      </c>
      <c r="M53" s="91">
        <v>30</v>
      </c>
      <c r="N53" s="91"/>
      <c r="O53" s="91"/>
      <c r="P53" s="91"/>
      <c r="Q53" s="91"/>
      <c r="R53" s="91"/>
      <c r="S53" s="91"/>
      <c r="T53" s="9"/>
      <c r="U53" s="9"/>
      <c r="V53" s="9"/>
      <c r="W53" s="9"/>
      <c r="X53" s="9"/>
      <c r="Y53" s="9"/>
      <c r="Z53" s="9"/>
    </row>
    <row r="54" spans="1:26" x14ac:dyDescent="0.35">
      <c r="A54" s="55"/>
      <c r="B54" s="55"/>
      <c r="C54" s="55"/>
      <c r="D54" s="55"/>
      <c r="E54" s="55"/>
      <c r="F54" s="54"/>
      <c r="G54" s="54"/>
      <c r="H54" s="14" t="s">
        <v>105</v>
      </c>
      <c r="I54" s="12" t="s">
        <v>13</v>
      </c>
      <c r="J54" s="28">
        <f>J48/(J49*365*24*J50/100)</f>
        <v>8.5616438356164384</v>
      </c>
      <c r="K54" s="28">
        <f>K48/(K49*365*24*K50/100)</f>
        <v>1.5220700152207001</v>
      </c>
      <c r="L54" s="28">
        <f>L48/(L49*365*24*L50/100)</f>
        <v>1.5220700152207001</v>
      </c>
      <c r="M54" s="28">
        <f t="shared" ref="M54:S54" si="2">M48/(M49*365*24*M50/100)</f>
        <v>0.28538812785388129</v>
      </c>
      <c r="N54" s="28" t="e">
        <f t="shared" si="2"/>
        <v>#DIV/0!</v>
      </c>
      <c r="O54" s="28" t="e">
        <f t="shared" si="2"/>
        <v>#DIV/0!</v>
      </c>
      <c r="P54" s="28" t="e">
        <f t="shared" si="2"/>
        <v>#DIV/0!</v>
      </c>
      <c r="Q54" s="28" t="e">
        <f t="shared" si="2"/>
        <v>#DIV/0!</v>
      </c>
      <c r="R54" s="28" t="e">
        <f t="shared" si="2"/>
        <v>#DIV/0!</v>
      </c>
      <c r="S54" s="28" t="e">
        <f t="shared" si="2"/>
        <v>#DIV/0!</v>
      </c>
      <c r="T54" s="9"/>
      <c r="U54" s="9"/>
      <c r="V54" s="9"/>
      <c r="W54" s="9"/>
      <c r="X54" s="9"/>
      <c r="Y54" s="9"/>
      <c r="Z54" s="9"/>
    </row>
    <row r="55" spans="1:26" x14ac:dyDescent="0.35">
      <c r="A55" s="55"/>
      <c r="B55" s="55"/>
      <c r="C55" s="55"/>
      <c r="D55" s="55"/>
      <c r="E55" s="55"/>
      <c r="F55" s="54"/>
      <c r="G55" s="54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x14ac:dyDescent="0.35">
      <c r="A56" s="55"/>
      <c r="B56" s="55"/>
      <c r="C56" s="55"/>
      <c r="D56" s="55"/>
      <c r="E56" s="55"/>
      <c r="F56" s="54"/>
      <c r="G56" s="54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x14ac:dyDescent="0.35">
      <c r="A57" s="55"/>
      <c r="B57" s="55"/>
      <c r="C57" s="55"/>
      <c r="D57" s="55"/>
      <c r="E57" s="55"/>
      <c r="F57" s="54"/>
      <c r="G57" s="54"/>
      <c r="H57" s="146" t="s">
        <v>45</v>
      </c>
      <c r="I57" s="147"/>
      <c r="J57" s="99" t="s">
        <v>0</v>
      </c>
      <c r="K57" s="99" t="s">
        <v>2</v>
      </c>
      <c r="L57" s="100" t="s">
        <v>33</v>
      </c>
      <c r="M57" s="99" t="s">
        <v>0</v>
      </c>
      <c r="N57" s="99"/>
      <c r="O57" s="99"/>
      <c r="P57" s="99"/>
      <c r="Q57" s="99"/>
      <c r="R57" s="99"/>
      <c r="S57" s="99"/>
      <c r="T57" s="9"/>
      <c r="U57" s="9"/>
      <c r="V57" s="9"/>
      <c r="W57" s="9"/>
      <c r="X57" s="9"/>
      <c r="Y57" s="9"/>
      <c r="Z57" s="9"/>
    </row>
    <row r="58" spans="1:26" ht="29" x14ac:dyDescent="0.35">
      <c r="A58" s="55"/>
      <c r="B58" s="57" t="s">
        <v>93</v>
      </c>
      <c r="C58" s="51"/>
      <c r="D58" s="57" t="s">
        <v>94</v>
      </c>
      <c r="E58" s="57" t="s">
        <v>95</v>
      </c>
      <c r="F58" s="54"/>
      <c r="G58" s="54"/>
      <c r="H58" s="148"/>
      <c r="I58" s="149"/>
      <c r="J58" s="105" t="s">
        <v>30</v>
      </c>
      <c r="K58" s="105" t="s">
        <v>106</v>
      </c>
      <c r="L58" s="108" t="s">
        <v>22</v>
      </c>
      <c r="M58" s="105" t="s">
        <v>65</v>
      </c>
      <c r="N58" s="105"/>
      <c r="O58" s="105"/>
      <c r="P58" s="105"/>
      <c r="Q58" s="105"/>
      <c r="R58" s="105"/>
      <c r="S58" s="105"/>
      <c r="T58" s="9"/>
      <c r="U58" s="9"/>
      <c r="V58" s="9"/>
      <c r="W58" s="9"/>
      <c r="X58" s="9"/>
      <c r="Y58" s="9"/>
      <c r="Z58" s="9"/>
    </row>
    <row r="59" spans="1:26" x14ac:dyDescent="0.35">
      <c r="A59" s="55"/>
      <c r="B59" s="103" t="s">
        <v>30</v>
      </c>
      <c r="C59" s="51"/>
      <c r="D59" s="103" t="s">
        <v>106</v>
      </c>
      <c r="E59" s="102" t="s">
        <v>22</v>
      </c>
      <c r="F59" s="54"/>
      <c r="G59" s="54"/>
      <c r="H59" s="13" t="s">
        <v>124</v>
      </c>
      <c r="I59" s="11" t="s">
        <v>7</v>
      </c>
      <c r="J59" s="91">
        <v>15</v>
      </c>
      <c r="K59" s="91">
        <v>15</v>
      </c>
      <c r="L59" s="107">
        <v>15</v>
      </c>
      <c r="M59" s="91">
        <v>15</v>
      </c>
      <c r="N59" s="91"/>
      <c r="O59" s="91"/>
      <c r="P59" s="91"/>
      <c r="Q59" s="91"/>
      <c r="R59" s="91"/>
      <c r="S59" s="91"/>
      <c r="T59" s="9"/>
      <c r="U59" s="9"/>
      <c r="V59" s="9"/>
      <c r="W59" s="9"/>
      <c r="X59" s="9"/>
      <c r="Y59" s="9"/>
      <c r="Z59" s="9"/>
    </row>
    <row r="60" spans="1:26" x14ac:dyDescent="0.35">
      <c r="A60" s="55"/>
      <c r="B60" s="103" t="s">
        <v>65</v>
      </c>
      <c r="C60" s="51"/>
      <c r="D60" s="102"/>
      <c r="E60" s="102"/>
      <c r="F60" s="54"/>
      <c r="G60" s="54"/>
      <c r="H60" s="13" t="s">
        <v>36</v>
      </c>
      <c r="I60" s="11" t="s">
        <v>5</v>
      </c>
      <c r="J60" s="91">
        <v>378</v>
      </c>
      <c r="K60" s="91">
        <v>400</v>
      </c>
      <c r="L60" s="107">
        <v>400</v>
      </c>
      <c r="M60" s="91">
        <v>90</v>
      </c>
      <c r="N60" s="91"/>
      <c r="O60" s="91"/>
      <c r="P60" s="91"/>
      <c r="Q60" s="91"/>
      <c r="R60" s="91"/>
      <c r="S60" s="91"/>
      <c r="T60" s="9"/>
      <c r="U60" s="9"/>
      <c r="V60" s="9"/>
      <c r="W60" s="9"/>
      <c r="X60" s="9"/>
      <c r="Y60" s="9"/>
      <c r="Z60" s="9"/>
    </row>
    <row r="61" spans="1:26" x14ac:dyDescent="0.35">
      <c r="A61" s="55"/>
      <c r="B61" s="102"/>
      <c r="C61" s="51"/>
      <c r="D61" s="102"/>
      <c r="E61" s="102"/>
      <c r="F61" s="54"/>
      <c r="G61" s="54"/>
      <c r="H61" s="13" t="s">
        <v>37</v>
      </c>
      <c r="I61" s="11" t="s">
        <v>5</v>
      </c>
      <c r="J61" s="91">
        <v>166</v>
      </c>
      <c r="K61" s="91">
        <v>250</v>
      </c>
      <c r="L61" s="107">
        <v>250</v>
      </c>
      <c r="M61" s="91">
        <v>90</v>
      </c>
      <c r="N61" s="91"/>
      <c r="O61" s="91"/>
      <c r="P61" s="91"/>
      <c r="Q61" s="91"/>
      <c r="R61" s="91"/>
      <c r="S61" s="91"/>
      <c r="T61" s="9"/>
      <c r="U61" s="9"/>
      <c r="V61" s="9"/>
      <c r="W61" s="9"/>
      <c r="X61" s="9"/>
      <c r="Y61" s="9"/>
      <c r="Z61" s="9"/>
    </row>
    <row r="62" spans="1:26" x14ac:dyDescent="0.35">
      <c r="A62" s="55"/>
      <c r="B62" s="102"/>
      <c r="C62" s="51"/>
      <c r="D62" s="102"/>
      <c r="E62" s="102"/>
      <c r="F62" s="54"/>
      <c r="G62" s="54"/>
      <c r="H62" s="13" t="s">
        <v>38</v>
      </c>
      <c r="I62" s="11" t="s">
        <v>5</v>
      </c>
      <c r="J62" s="91">
        <v>165</v>
      </c>
      <c r="K62" s="91">
        <v>250</v>
      </c>
      <c r="L62" s="107">
        <v>250</v>
      </c>
      <c r="M62" s="91">
        <v>90</v>
      </c>
      <c r="N62" s="91"/>
      <c r="O62" s="91"/>
      <c r="P62" s="91"/>
      <c r="Q62" s="91"/>
      <c r="R62" s="91"/>
      <c r="S62" s="91"/>
      <c r="T62" s="9"/>
      <c r="U62" s="9"/>
      <c r="V62" s="9"/>
      <c r="W62" s="9"/>
      <c r="X62" s="9"/>
      <c r="Y62" s="9"/>
      <c r="Z62" s="9"/>
    </row>
    <row r="63" spans="1:26" x14ac:dyDescent="0.35">
      <c r="A63" s="55"/>
      <c r="B63" s="55"/>
      <c r="C63" s="55"/>
      <c r="D63" s="55"/>
      <c r="E63" s="55"/>
      <c r="F63" s="54"/>
      <c r="G63" s="54"/>
      <c r="H63" s="13" t="s">
        <v>118</v>
      </c>
      <c r="I63" s="11" t="s">
        <v>5</v>
      </c>
      <c r="J63" s="91">
        <v>10</v>
      </c>
      <c r="K63" s="91">
        <v>10</v>
      </c>
      <c r="L63" s="107">
        <v>10</v>
      </c>
      <c r="M63" s="91">
        <v>3</v>
      </c>
      <c r="N63" s="91"/>
      <c r="O63" s="91"/>
      <c r="P63" s="91"/>
      <c r="Q63" s="91"/>
      <c r="R63" s="91"/>
      <c r="S63" s="91"/>
      <c r="T63" s="9"/>
      <c r="U63" s="9"/>
      <c r="V63" s="9"/>
      <c r="W63" s="9"/>
      <c r="X63" s="9"/>
      <c r="Y63" s="9"/>
      <c r="Z63" s="9"/>
    </row>
    <row r="64" spans="1:26" x14ac:dyDescent="0.35">
      <c r="A64" s="55"/>
      <c r="B64" s="55"/>
      <c r="C64" s="55"/>
      <c r="D64" s="55"/>
      <c r="E64" s="55"/>
      <c r="F64" s="54"/>
      <c r="G64" s="54"/>
      <c r="H64" s="13" t="s">
        <v>119</v>
      </c>
      <c r="I64" s="11" t="s">
        <v>7</v>
      </c>
      <c r="J64" s="91">
        <v>0.5</v>
      </c>
      <c r="K64" s="91">
        <v>0.5</v>
      </c>
      <c r="L64" s="107">
        <v>0.5</v>
      </c>
      <c r="M64" s="91">
        <v>0.5</v>
      </c>
      <c r="N64" s="91"/>
      <c r="O64" s="91"/>
      <c r="P64" s="91"/>
      <c r="Q64" s="91"/>
      <c r="R64" s="91"/>
      <c r="S64" s="91"/>
      <c r="T64" s="9"/>
      <c r="U64" s="9"/>
      <c r="V64" s="9"/>
      <c r="W64" s="9"/>
      <c r="X64" s="9"/>
      <c r="Y64" s="9"/>
      <c r="Z64" s="9"/>
    </row>
    <row r="65" spans="1:26" x14ac:dyDescent="0.35">
      <c r="A65" s="55"/>
      <c r="B65" s="55"/>
      <c r="C65" s="55"/>
      <c r="D65" s="55"/>
      <c r="E65" s="55"/>
      <c r="F65" s="54"/>
      <c r="G65" s="54"/>
      <c r="H65" s="13" t="s">
        <v>112</v>
      </c>
      <c r="I65" s="11" t="s">
        <v>6</v>
      </c>
      <c r="J65" s="91">
        <v>140000</v>
      </c>
      <c r="K65" s="91">
        <v>210000</v>
      </c>
      <c r="L65" s="107">
        <v>210000</v>
      </c>
      <c r="M65" s="91">
        <v>17490</v>
      </c>
      <c r="N65" s="91"/>
      <c r="O65" s="91"/>
      <c r="P65" s="91"/>
      <c r="Q65" s="91"/>
      <c r="R65" s="91"/>
      <c r="S65" s="91"/>
      <c r="T65" s="9"/>
      <c r="U65" s="9"/>
      <c r="V65" s="9"/>
      <c r="W65" s="9"/>
      <c r="X65" s="9"/>
      <c r="Y65" s="9"/>
      <c r="Z65" s="9"/>
    </row>
    <row r="66" spans="1:26" x14ac:dyDescent="0.35">
      <c r="A66" s="55"/>
      <c r="B66" s="55"/>
      <c r="C66" s="55"/>
      <c r="D66" s="55"/>
      <c r="E66" s="55"/>
      <c r="F66" s="54"/>
      <c r="G66" s="54"/>
      <c r="H66" s="13" t="s">
        <v>113</v>
      </c>
      <c r="I66" s="11" t="s">
        <v>114</v>
      </c>
      <c r="J66" s="91">
        <v>5</v>
      </c>
      <c r="K66" s="91">
        <v>5</v>
      </c>
      <c r="L66" s="107">
        <v>5</v>
      </c>
      <c r="M66" s="91">
        <v>5</v>
      </c>
      <c r="N66" s="91"/>
      <c r="O66" s="91"/>
      <c r="P66" s="91"/>
      <c r="Q66" s="91"/>
      <c r="R66" s="91"/>
      <c r="S66" s="91"/>
      <c r="T66" s="9"/>
      <c r="U66" s="9"/>
      <c r="V66" s="9"/>
      <c r="W66" s="9"/>
      <c r="X66" s="9"/>
      <c r="Y66" s="9"/>
      <c r="Z66" s="9"/>
    </row>
    <row r="67" spans="1:26" x14ac:dyDescent="0.35">
      <c r="A67" s="55"/>
      <c r="B67" s="55"/>
      <c r="C67" s="55"/>
      <c r="D67" s="55"/>
      <c r="E67" s="55"/>
      <c r="F67" s="54"/>
      <c r="G67" s="54"/>
      <c r="H67" s="13" t="s">
        <v>116</v>
      </c>
      <c r="I67" s="11" t="s">
        <v>11</v>
      </c>
      <c r="J67" s="91">
        <v>50</v>
      </c>
      <c r="K67" s="91">
        <v>50</v>
      </c>
      <c r="L67" s="107">
        <v>50</v>
      </c>
      <c r="M67" s="91">
        <v>50</v>
      </c>
      <c r="N67" s="91"/>
      <c r="O67" s="91"/>
      <c r="P67" s="91"/>
      <c r="Q67" s="91"/>
      <c r="R67" s="91"/>
      <c r="S67" s="91"/>
      <c r="T67" s="9"/>
      <c r="U67" s="9"/>
      <c r="V67" s="9"/>
      <c r="W67" s="9"/>
      <c r="X67" s="9"/>
      <c r="Y67" s="9"/>
      <c r="Z67" s="9"/>
    </row>
    <row r="68" spans="1:26" x14ac:dyDescent="0.35">
      <c r="A68" s="55"/>
      <c r="B68" s="55"/>
      <c r="C68" s="55"/>
      <c r="D68" s="55"/>
      <c r="E68" s="55"/>
      <c r="F68" s="54"/>
      <c r="G68" s="54"/>
      <c r="H68" s="13" t="s">
        <v>109</v>
      </c>
      <c r="I68" s="11" t="s">
        <v>6</v>
      </c>
      <c r="J68" s="91">
        <v>40</v>
      </c>
      <c r="K68" s="91">
        <v>40</v>
      </c>
      <c r="L68" s="107">
        <v>40</v>
      </c>
      <c r="M68" s="91">
        <v>40</v>
      </c>
      <c r="N68" s="91"/>
      <c r="O68" s="91"/>
      <c r="P68" s="91"/>
      <c r="Q68" s="91"/>
      <c r="R68" s="91"/>
      <c r="S68" s="91"/>
      <c r="T68" s="9"/>
      <c r="U68" s="9"/>
      <c r="V68" s="9"/>
      <c r="W68" s="9"/>
      <c r="X68" s="9"/>
      <c r="Y68" s="9"/>
      <c r="Z68" s="9"/>
    </row>
    <row r="69" spans="1:26" x14ac:dyDescent="0.35">
      <c r="A69" s="55"/>
      <c r="B69" s="55"/>
      <c r="C69" s="55"/>
      <c r="D69" s="55"/>
      <c r="E69" s="55"/>
      <c r="F69" s="54"/>
      <c r="G69" s="54"/>
      <c r="H69" s="13" t="s">
        <v>110</v>
      </c>
      <c r="I69" s="11" t="s">
        <v>6</v>
      </c>
      <c r="J69" s="91">
        <v>50</v>
      </c>
      <c r="K69" s="91">
        <v>50</v>
      </c>
      <c r="L69" s="107">
        <v>50</v>
      </c>
      <c r="M69" s="91">
        <v>50</v>
      </c>
      <c r="N69" s="91"/>
      <c r="O69" s="91"/>
      <c r="P69" s="91"/>
      <c r="Q69" s="91"/>
      <c r="R69" s="91"/>
      <c r="S69" s="91"/>
      <c r="T69" s="9"/>
      <c r="U69" s="9"/>
      <c r="V69" s="9"/>
      <c r="W69" s="9"/>
      <c r="X69" s="9"/>
      <c r="Y69" s="9"/>
      <c r="Z69" s="9"/>
    </row>
    <row r="70" spans="1:26" x14ac:dyDescent="0.35">
      <c r="A70" s="55"/>
      <c r="B70" s="55"/>
      <c r="C70" s="55"/>
      <c r="D70" s="55"/>
      <c r="E70" s="55"/>
      <c r="F70" s="54"/>
      <c r="G70" s="54"/>
      <c r="H70" s="14" t="s">
        <v>105</v>
      </c>
      <c r="I70" s="12" t="s">
        <v>13</v>
      </c>
      <c r="J70" s="28">
        <f>J65/(J66*365*24*J67/100)</f>
        <v>6.3926940639269407</v>
      </c>
      <c r="K70" s="28">
        <f>K65/(K66*365*24*K67/100)</f>
        <v>9.5890410958904102</v>
      </c>
      <c r="L70" s="28">
        <f>L65/(L66*365*24*L67/100)</f>
        <v>9.5890410958904102</v>
      </c>
      <c r="M70" s="28">
        <f t="shared" ref="M70:S70" si="3">M65/(M66*365*24*M67/100)</f>
        <v>0.79863013698630136</v>
      </c>
      <c r="N70" s="28" t="e">
        <f t="shared" si="3"/>
        <v>#DIV/0!</v>
      </c>
      <c r="O70" s="28" t="e">
        <f t="shared" si="3"/>
        <v>#DIV/0!</v>
      </c>
      <c r="P70" s="28" t="e">
        <f t="shared" si="3"/>
        <v>#DIV/0!</v>
      </c>
      <c r="Q70" s="28" t="e">
        <f t="shared" si="3"/>
        <v>#DIV/0!</v>
      </c>
      <c r="R70" s="28" t="e">
        <f t="shared" si="3"/>
        <v>#DIV/0!</v>
      </c>
      <c r="S70" s="28" t="e">
        <f t="shared" si="3"/>
        <v>#DIV/0!</v>
      </c>
      <c r="T70" s="9"/>
      <c r="U70" s="9"/>
      <c r="V70" s="9"/>
      <c r="W70" s="9"/>
      <c r="X70" s="9"/>
      <c r="Y70" s="9"/>
      <c r="Z70" s="9"/>
    </row>
    <row r="71" spans="1:26" x14ac:dyDescent="0.35">
      <c r="A71" s="55"/>
      <c r="B71" s="55"/>
      <c r="C71" s="55"/>
      <c r="D71" s="55"/>
      <c r="E71" s="55"/>
      <c r="F71" s="54"/>
      <c r="G71" s="54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x14ac:dyDescent="0.35">
      <c r="A72" s="55"/>
      <c r="B72" s="55"/>
      <c r="C72" s="55"/>
      <c r="D72" s="55"/>
      <c r="E72" s="55"/>
      <c r="F72" s="54"/>
      <c r="G72" s="54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" customHeight="1" x14ac:dyDescent="0.35">
      <c r="A73" s="55"/>
      <c r="B73" s="55"/>
      <c r="C73" s="55"/>
      <c r="D73" s="55"/>
      <c r="E73" s="55"/>
      <c r="F73" s="54"/>
      <c r="G73" s="54"/>
      <c r="H73" s="146" t="s">
        <v>46</v>
      </c>
      <c r="I73" s="147"/>
      <c r="J73" s="100" t="s">
        <v>1</v>
      </c>
      <c r="K73" s="100"/>
      <c r="L73" s="100"/>
      <c r="M73" s="100"/>
      <c r="N73" s="100"/>
      <c r="O73" s="100"/>
      <c r="P73" s="100"/>
      <c r="Q73" s="100"/>
      <c r="R73" s="100"/>
      <c r="S73" s="100"/>
      <c r="T73" s="9"/>
      <c r="U73" s="9"/>
      <c r="V73" s="9"/>
      <c r="W73" s="9"/>
      <c r="X73" s="9"/>
      <c r="Y73" s="9"/>
      <c r="Z73" s="9"/>
    </row>
    <row r="74" spans="1:26" x14ac:dyDescent="0.35">
      <c r="A74" s="55"/>
      <c r="B74" s="55"/>
      <c r="C74" s="58" t="s">
        <v>62</v>
      </c>
      <c r="D74" s="55"/>
      <c r="E74" s="55"/>
      <c r="F74" s="54"/>
      <c r="G74" s="54"/>
      <c r="H74" s="148"/>
      <c r="I74" s="149"/>
      <c r="J74" s="104" t="s">
        <v>25</v>
      </c>
      <c r="K74" s="104"/>
      <c r="L74" s="104"/>
      <c r="M74" s="104"/>
      <c r="N74" s="104"/>
      <c r="O74" s="104"/>
      <c r="P74" s="104"/>
      <c r="Q74" s="104"/>
      <c r="R74" s="104"/>
      <c r="S74" s="104"/>
      <c r="T74" s="9"/>
      <c r="U74" s="9"/>
      <c r="V74" s="9"/>
      <c r="W74" s="9"/>
      <c r="X74" s="9"/>
      <c r="Y74" s="9"/>
      <c r="Z74" s="9"/>
    </row>
    <row r="75" spans="1:26" x14ac:dyDescent="0.35">
      <c r="A75" s="55"/>
      <c r="B75" s="55"/>
      <c r="C75" s="103" t="s">
        <v>25</v>
      </c>
      <c r="D75" s="55"/>
      <c r="E75" s="55"/>
      <c r="F75" s="54"/>
      <c r="G75" s="54"/>
      <c r="H75" s="13" t="s">
        <v>124</v>
      </c>
      <c r="I75" s="11" t="s">
        <v>7</v>
      </c>
      <c r="J75" s="91">
        <v>24</v>
      </c>
      <c r="K75" s="91"/>
      <c r="L75" s="91"/>
      <c r="M75" s="91"/>
      <c r="N75" s="91"/>
      <c r="O75" s="91"/>
      <c r="P75" s="91"/>
      <c r="Q75" s="91"/>
      <c r="R75" s="91"/>
      <c r="S75" s="91"/>
      <c r="T75" s="9"/>
      <c r="U75" s="9"/>
      <c r="V75" s="9"/>
      <c r="W75" s="9"/>
      <c r="X75" s="9"/>
      <c r="Y75" s="9"/>
      <c r="Z75" s="9"/>
    </row>
    <row r="76" spans="1:26" x14ac:dyDescent="0.35">
      <c r="A76" s="55"/>
      <c r="B76" s="55"/>
      <c r="C76" s="102"/>
      <c r="D76" s="55"/>
      <c r="E76" s="55"/>
      <c r="F76" s="54"/>
      <c r="G76" s="54"/>
      <c r="H76" s="13" t="s">
        <v>38</v>
      </c>
      <c r="I76" s="11" t="s">
        <v>5</v>
      </c>
      <c r="J76" s="91">
        <v>450</v>
      </c>
      <c r="K76" s="91"/>
      <c r="L76" s="91"/>
      <c r="M76" s="91"/>
      <c r="N76" s="91"/>
      <c r="O76" s="91"/>
      <c r="P76" s="91"/>
      <c r="Q76" s="91"/>
      <c r="R76" s="91"/>
      <c r="S76" s="91"/>
      <c r="T76" s="9"/>
      <c r="U76" s="9"/>
      <c r="V76" s="9"/>
      <c r="W76" s="9"/>
      <c r="X76" s="9"/>
      <c r="Y76" s="9"/>
      <c r="Z76" s="9"/>
    </row>
    <row r="77" spans="1:26" x14ac:dyDescent="0.35">
      <c r="A77" s="55"/>
      <c r="B77" s="55"/>
      <c r="C77" s="102"/>
      <c r="D77" s="55"/>
      <c r="E77" s="55"/>
      <c r="F77" s="54"/>
      <c r="G77" s="54"/>
      <c r="H77" s="13" t="s">
        <v>36</v>
      </c>
      <c r="I77" s="11" t="s">
        <v>5</v>
      </c>
      <c r="J77" s="91">
        <v>750</v>
      </c>
      <c r="K77" s="91"/>
      <c r="L77" s="91"/>
      <c r="M77" s="91"/>
      <c r="N77" s="91"/>
      <c r="O77" s="91"/>
      <c r="P77" s="91"/>
      <c r="Q77" s="91"/>
      <c r="R77" s="91"/>
      <c r="S77" s="91"/>
      <c r="T77" s="9"/>
      <c r="U77" s="9"/>
      <c r="V77" s="9"/>
      <c r="W77" s="9"/>
      <c r="X77" s="9"/>
      <c r="Y77" s="9"/>
      <c r="Z77" s="9"/>
    </row>
    <row r="78" spans="1:26" x14ac:dyDescent="0.35">
      <c r="A78" s="55"/>
      <c r="B78" s="55"/>
      <c r="C78" s="102"/>
      <c r="D78" s="55"/>
      <c r="E78" s="55"/>
      <c r="F78" s="54"/>
      <c r="G78" s="54"/>
      <c r="H78" s="13" t="s">
        <v>37</v>
      </c>
      <c r="I78" s="11" t="s">
        <v>5</v>
      </c>
      <c r="J78" s="91">
        <v>450</v>
      </c>
      <c r="K78" s="91"/>
      <c r="L78" s="91"/>
      <c r="M78" s="91"/>
      <c r="N78" s="91"/>
      <c r="O78" s="91"/>
      <c r="P78" s="91"/>
      <c r="Q78" s="91"/>
      <c r="R78" s="91"/>
      <c r="S78" s="91"/>
      <c r="T78" s="9"/>
      <c r="U78" s="9"/>
      <c r="V78" s="9"/>
      <c r="W78" s="9"/>
      <c r="X78" s="9"/>
      <c r="Y78" s="9"/>
      <c r="Z78" s="9"/>
    </row>
    <row r="79" spans="1:26" x14ac:dyDescent="0.35">
      <c r="A79" s="55"/>
      <c r="B79" s="55"/>
      <c r="C79" s="55"/>
      <c r="D79" s="55"/>
      <c r="E79" s="55"/>
      <c r="F79" s="54"/>
      <c r="G79" s="54"/>
      <c r="H79" s="13" t="s">
        <v>118</v>
      </c>
      <c r="I79" s="11" t="s">
        <v>5</v>
      </c>
      <c r="J79" s="91">
        <v>10</v>
      </c>
      <c r="K79" s="91"/>
      <c r="L79" s="91"/>
      <c r="M79" s="91"/>
      <c r="N79" s="91"/>
      <c r="O79" s="91"/>
      <c r="P79" s="91"/>
      <c r="Q79" s="91"/>
      <c r="R79" s="91"/>
      <c r="S79" s="91"/>
      <c r="T79" s="9"/>
      <c r="U79" s="9"/>
      <c r="V79" s="9"/>
      <c r="W79" s="9"/>
      <c r="X79" s="9"/>
      <c r="Y79" s="9"/>
      <c r="Z79" s="9"/>
    </row>
    <row r="80" spans="1:26" x14ac:dyDescent="0.35">
      <c r="A80" s="9"/>
      <c r="B80" s="9"/>
      <c r="C80" s="9"/>
      <c r="D80" s="9"/>
      <c r="E80" s="9"/>
      <c r="F80" s="54"/>
      <c r="G80" s="54"/>
      <c r="H80" s="13" t="s">
        <v>119</v>
      </c>
      <c r="I80" s="11" t="s">
        <v>7</v>
      </c>
      <c r="J80" s="91">
        <v>0.5</v>
      </c>
      <c r="K80" s="91"/>
      <c r="L80" s="91"/>
      <c r="M80" s="91"/>
      <c r="N80" s="91"/>
      <c r="O80" s="91"/>
      <c r="P80" s="91"/>
      <c r="Q80" s="91"/>
      <c r="R80" s="91"/>
      <c r="S80" s="91"/>
      <c r="T80" s="9"/>
      <c r="U80" s="9"/>
      <c r="V80" s="9"/>
      <c r="W80" s="9"/>
      <c r="X80" s="9"/>
      <c r="Y80" s="9"/>
      <c r="Z80" s="9"/>
    </row>
    <row r="81" spans="1:26" x14ac:dyDescent="0.35">
      <c r="A81" s="9"/>
      <c r="B81" s="9"/>
      <c r="C81" s="9"/>
      <c r="D81" s="9"/>
      <c r="E81" s="9"/>
      <c r="F81" s="54"/>
      <c r="G81" s="54"/>
      <c r="H81" s="13" t="s">
        <v>112</v>
      </c>
      <c r="I81" s="11" t="s">
        <v>6</v>
      </c>
      <c r="J81" s="91">
        <v>49500</v>
      </c>
      <c r="K81" s="91"/>
      <c r="L81" s="91"/>
      <c r="M81" s="91"/>
      <c r="N81" s="91"/>
      <c r="O81" s="91"/>
      <c r="P81" s="91"/>
      <c r="Q81" s="91"/>
      <c r="R81" s="91"/>
      <c r="S81" s="91"/>
      <c r="T81" s="9"/>
      <c r="U81" s="9"/>
      <c r="V81" s="9"/>
      <c r="W81" s="9"/>
      <c r="X81" s="9"/>
      <c r="Y81" s="9"/>
      <c r="Z81" s="9"/>
    </row>
    <row r="82" spans="1:26" x14ac:dyDescent="0.35">
      <c r="A82" s="9"/>
      <c r="B82" s="9"/>
      <c r="C82" s="9"/>
      <c r="D82" s="9"/>
      <c r="E82" s="9"/>
      <c r="F82" s="54"/>
      <c r="G82" s="54"/>
      <c r="H82" s="13" t="s">
        <v>113</v>
      </c>
      <c r="I82" s="11" t="s">
        <v>114</v>
      </c>
      <c r="J82" s="91">
        <v>5</v>
      </c>
      <c r="K82" s="91"/>
      <c r="L82" s="91"/>
      <c r="M82" s="91"/>
      <c r="N82" s="91"/>
      <c r="O82" s="91"/>
      <c r="P82" s="91"/>
      <c r="Q82" s="91"/>
      <c r="R82" s="91"/>
      <c r="S82" s="91"/>
      <c r="T82" s="9"/>
      <c r="U82" s="9"/>
      <c r="V82" s="9"/>
      <c r="W82" s="9"/>
      <c r="X82" s="9"/>
      <c r="Y82" s="9"/>
      <c r="Z82" s="9"/>
    </row>
    <row r="83" spans="1:26" x14ac:dyDescent="0.35">
      <c r="A83" s="9"/>
      <c r="B83" s="9"/>
      <c r="C83" s="9"/>
      <c r="D83" s="9"/>
      <c r="E83" s="9"/>
      <c r="F83" s="54"/>
      <c r="G83" s="54"/>
      <c r="H83" s="13" t="s">
        <v>116</v>
      </c>
      <c r="I83" s="11" t="s">
        <v>11</v>
      </c>
      <c r="J83" s="91">
        <v>50</v>
      </c>
      <c r="K83" s="91"/>
      <c r="L83" s="91"/>
      <c r="M83" s="91"/>
      <c r="N83" s="91"/>
      <c r="O83" s="91"/>
      <c r="P83" s="91"/>
      <c r="Q83" s="91"/>
      <c r="R83" s="91"/>
      <c r="S83" s="91"/>
      <c r="T83" s="9"/>
      <c r="U83" s="9"/>
      <c r="V83" s="9"/>
      <c r="W83" s="9"/>
      <c r="X83" s="9"/>
      <c r="Y83" s="9"/>
      <c r="Z83" s="9"/>
    </row>
    <row r="84" spans="1:26" x14ac:dyDescent="0.35">
      <c r="A84" s="9"/>
      <c r="B84" s="9"/>
      <c r="C84" s="9"/>
      <c r="D84" s="9"/>
      <c r="E84" s="9"/>
      <c r="F84" s="54"/>
      <c r="G84" s="54"/>
      <c r="H84" s="13" t="s">
        <v>109</v>
      </c>
      <c r="I84" s="11" t="s">
        <v>6</v>
      </c>
      <c r="J84" s="91">
        <v>30</v>
      </c>
      <c r="K84" s="91"/>
      <c r="L84" s="91"/>
      <c r="M84" s="91"/>
      <c r="N84" s="91"/>
      <c r="O84" s="91"/>
      <c r="P84" s="91"/>
      <c r="Q84" s="91"/>
      <c r="R84" s="91"/>
      <c r="S84" s="91"/>
      <c r="T84" s="9"/>
      <c r="U84" s="9"/>
      <c r="V84" s="9"/>
      <c r="W84" s="9"/>
      <c r="X84" s="9"/>
      <c r="Y84" s="9"/>
      <c r="Z84" s="9"/>
    </row>
    <row r="85" spans="1:26" x14ac:dyDescent="0.35">
      <c r="A85" s="9"/>
      <c r="B85" s="9"/>
      <c r="C85" s="9"/>
      <c r="D85" s="9"/>
      <c r="E85" s="9"/>
      <c r="F85" s="54"/>
      <c r="G85" s="54"/>
      <c r="H85" s="13" t="s">
        <v>110</v>
      </c>
      <c r="I85" s="11" t="s">
        <v>6</v>
      </c>
      <c r="J85" s="91">
        <v>35</v>
      </c>
      <c r="K85" s="91"/>
      <c r="L85" s="91"/>
      <c r="M85" s="91"/>
      <c r="N85" s="91"/>
      <c r="O85" s="91"/>
      <c r="P85" s="91"/>
      <c r="Q85" s="91"/>
      <c r="R85" s="91"/>
      <c r="S85" s="91"/>
      <c r="T85" s="9"/>
      <c r="U85" s="9"/>
      <c r="V85" s="9"/>
      <c r="W85" s="9"/>
      <c r="X85" s="9"/>
      <c r="Y85" s="9"/>
      <c r="Z85" s="9"/>
    </row>
    <row r="86" spans="1:26" x14ac:dyDescent="0.35">
      <c r="A86" s="9"/>
      <c r="B86" s="9"/>
      <c r="C86" s="9"/>
      <c r="D86" s="9"/>
      <c r="E86" s="9"/>
      <c r="F86" s="54"/>
      <c r="G86" s="54"/>
      <c r="H86" s="14" t="s">
        <v>105</v>
      </c>
      <c r="I86" s="12" t="s">
        <v>13</v>
      </c>
      <c r="J86" s="28">
        <f>J81/(J82*365*24*J83/100)</f>
        <v>2.2602739726027399</v>
      </c>
      <c r="K86" s="28" t="e">
        <f t="shared" ref="K86:S86" si="4">K81/(K82*365*24*K83/100)</f>
        <v>#DIV/0!</v>
      </c>
      <c r="L86" s="28" t="e">
        <f t="shared" si="4"/>
        <v>#DIV/0!</v>
      </c>
      <c r="M86" s="28" t="e">
        <f t="shared" si="4"/>
        <v>#DIV/0!</v>
      </c>
      <c r="N86" s="28" t="e">
        <f t="shared" si="4"/>
        <v>#DIV/0!</v>
      </c>
      <c r="O86" s="28" t="e">
        <f t="shared" si="4"/>
        <v>#DIV/0!</v>
      </c>
      <c r="P86" s="28" t="e">
        <f t="shared" si="4"/>
        <v>#DIV/0!</v>
      </c>
      <c r="Q86" s="28" t="e">
        <f t="shared" si="4"/>
        <v>#DIV/0!</v>
      </c>
      <c r="R86" s="28" t="e">
        <f t="shared" si="4"/>
        <v>#DIV/0!</v>
      </c>
      <c r="S86" s="28" t="e">
        <f t="shared" si="4"/>
        <v>#DIV/0!</v>
      </c>
      <c r="T86" s="9"/>
      <c r="U86" s="9"/>
      <c r="V86" s="9"/>
      <c r="W86" s="9"/>
      <c r="X86" s="9"/>
      <c r="Y86" s="9"/>
      <c r="Z86" s="9"/>
    </row>
    <row r="87" spans="1:26" x14ac:dyDescent="0.35">
      <c r="A87" s="9"/>
      <c r="B87" s="9"/>
      <c r="C87" s="9"/>
      <c r="D87" s="9"/>
      <c r="E87" s="9"/>
      <c r="F87" s="54"/>
      <c r="G87" s="54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idden="1" x14ac:dyDescent="0.35">
      <c r="F88" s="54"/>
      <c r="G88" s="54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idden="1" x14ac:dyDescent="0.35">
      <c r="F89" s="54"/>
      <c r="G89" s="54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idden="1" x14ac:dyDescent="0.35">
      <c r="F90" s="54"/>
      <c r="G90" s="54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idden="1" x14ac:dyDescent="0.35">
      <c r="F91" s="54"/>
      <c r="G91" s="54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idden="1" x14ac:dyDescent="0.35">
      <c r="F92" s="54"/>
      <c r="G92" s="54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idden="1" x14ac:dyDescent="0.35">
      <c r="F93" s="54"/>
      <c r="G93" s="54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idden="1" x14ac:dyDescent="0.35">
      <c r="F94" s="54"/>
      <c r="G94" s="54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idden="1" x14ac:dyDescent="0.35">
      <c r="F95" s="54"/>
      <c r="G95" s="54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idden="1" x14ac:dyDescent="0.35">
      <c r="F96" s="54"/>
      <c r="G96" s="54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6:26" hidden="1" x14ac:dyDescent="0.35">
      <c r="F97" s="54"/>
      <c r="G97" s="54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6:26" hidden="1" x14ac:dyDescent="0.35">
      <c r="F98" s="54"/>
      <c r="G98" s="54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6:26" hidden="1" x14ac:dyDescent="0.35">
      <c r="F99" s="54"/>
      <c r="G99" s="54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6:26" hidden="1" x14ac:dyDescent="0.35">
      <c r="F100" s="54"/>
      <c r="G100" s="54"/>
    </row>
    <row r="101" spans="6:26" hidden="1" x14ac:dyDescent="0.35">
      <c r="F101" s="54"/>
      <c r="G101" s="54"/>
    </row>
    <row r="102" spans="6:26" hidden="1" x14ac:dyDescent="0.35">
      <c r="F102" s="54"/>
      <c r="G102" s="54"/>
    </row>
    <row r="103" spans="6:26" hidden="1" x14ac:dyDescent="0.35">
      <c r="F103" s="54"/>
      <c r="G103" s="54"/>
    </row>
    <row r="104" spans="6:26" hidden="1" x14ac:dyDescent="0.35">
      <c r="F104" s="54"/>
      <c r="G104" s="54"/>
    </row>
  </sheetData>
  <sheetProtection selectLockedCells="1"/>
  <mergeCells count="5">
    <mergeCell ref="H4:I5"/>
    <mergeCell ref="H23:I24"/>
    <mergeCell ref="H38:I39"/>
    <mergeCell ref="H57:I58"/>
    <mergeCell ref="H73:I74"/>
  </mergeCells>
  <pageMargins left="0.7" right="0.7" top="0.78740157499999996" bottom="0.78740157499999996" header="0.3" footer="0.3"/>
  <tableParts count="12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opLeftCell="A2" zoomScale="85" zoomScaleNormal="85" workbookViewId="0">
      <selection activeCell="L12" sqref="L12"/>
    </sheetView>
  </sheetViews>
  <sheetFormatPr baseColWidth="10" defaultColWidth="0" defaultRowHeight="14.5" zeroHeight="1" x14ac:dyDescent="0.35"/>
  <cols>
    <col min="1" max="1" width="4.81640625" style="1" customWidth="1"/>
    <col min="2" max="2" width="29.54296875" customWidth="1"/>
    <col min="3" max="12" width="10.81640625" customWidth="1"/>
    <col min="13" max="13" width="17.453125" customWidth="1"/>
    <col min="14" max="14" width="10.81640625" customWidth="1"/>
    <col min="15" max="16" width="0" hidden="1" customWidth="1"/>
    <col min="17" max="16384" width="10.81640625" hidden="1"/>
  </cols>
  <sheetData>
    <row r="1" spans="1:14" x14ac:dyDescent="0.35">
      <c r="C1" s="153" t="s">
        <v>42</v>
      </c>
      <c r="D1" s="154"/>
      <c r="E1" s="154"/>
      <c r="F1" s="155"/>
      <c r="G1" s="153" t="s">
        <v>44</v>
      </c>
      <c r="H1" s="154"/>
      <c r="I1" s="155"/>
      <c r="J1" s="153" t="s">
        <v>45</v>
      </c>
      <c r="K1" s="154"/>
      <c r="L1" s="155"/>
      <c r="M1" s="33" t="s">
        <v>46</v>
      </c>
    </row>
    <row r="2" spans="1:14" x14ac:dyDescent="0.35">
      <c r="C2" s="20" t="s">
        <v>0</v>
      </c>
      <c r="D2" s="18" t="s">
        <v>1</v>
      </c>
      <c r="E2" s="18" t="s">
        <v>2</v>
      </c>
      <c r="F2" s="19" t="s">
        <v>33</v>
      </c>
      <c r="G2" s="20" t="s">
        <v>0</v>
      </c>
      <c r="H2" s="18" t="s">
        <v>2</v>
      </c>
      <c r="I2" s="19" t="s">
        <v>33</v>
      </c>
      <c r="J2" s="20" t="s">
        <v>0</v>
      </c>
      <c r="K2" s="18" t="s">
        <v>2</v>
      </c>
      <c r="L2" s="19" t="s">
        <v>33</v>
      </c>
      <c r="M2" s="18" t="s">
        <v>1</v>
      </c>
    </row>
    <row r="3" spans="1:14" x14ac:dyDescent="0.35">
      <c r="B3" s="24" t="s">
        <v>36</v>
      </c>
      <c r="C3" s="10">
        <f>ROUNDDOWN(('Process parameter'!D7/('Input - Output'!$E$4*C11^(1/3)+'Process parameter'!D9)),0)</f>
        <v>3</v>
      </c>
      <c r="D3" s="10">
        <f>ROUNDDOWN(('Process parameter'!E7/('Input - Output'!$E$4+'Process parameter'!E9)),0)</f>
        <v>1</v>
      </c>
      <c r="E3" s="10">
        <f>ROUNDDOWN(('Process parameter'!F7/('Input - Output'!$E$4*E11^(1/3)+'Process parameter'!F9)),0)</f>
        <v>2</v>
      </c>
      <c r="F3" s="10" t="s">
        <v>14</v>
      </c>
      <c r="G3" s="10">
        <f>('Process parameter'!D47*'Process parameter'!D48/100)/('Input - Output'!E3*C11)</f>
        <v>440.54400000000004</v>
      </c>
      <c r="H3" s="10">
        <f>ROUNDDOWN(('Process parameter'!E44/('Input - Output'!E4*E11^(1/3)+'Process parameter'!E46)),0)</f>
        <v>6</v>
      </c>
      <c r="I3" s="10">
        <f>ROUNDDOWN(('Process parameter'!F44/('Input - Output'!E4*F11^(1/3)+'Process parameter'!F46)),0)</f>
        <v>6</v>
      </c>
      <c r="J3" s="10">
        <f>ROUNDDOWN(('Process parameter'!D63/('Input - Output'!$E$4*C11^(1/3)+'Process parameter'!D66)),0)</f>
        <v>1</v>
      </c>
      <c r="K3" s="10">
        <f>ROUNDDOWN(('Process parameter'!E63/('Input - Output'!$E$4*F11^(1/3)+'Process parameter'!E66)),0)</f>
        <v>4</v>
      </c>
      <c r="L3" s="10">
        <f>ROUNDDOWN(('Process parameter'!F63/('Input - Output'!$E$4*F11^(1/3)+'Process parameter'!F66)),0)</f>
        <v>4</v>
      </c>
      <c r="M3" s="10">
        <f>ROUNDDOWN(('Process parameter'!D81/('Input - Output'!$E$4+'Process parameter'!D83)),0)</f>
        <v>8</v>
      </c>
      <c r="N3" s="2"/>
    </row>
    <row r="4" spans="1:14" x14ac:dyDescent="0.35">
      <c r="B4" s="24" t="s">
        <v>37</v>
      </c>
      <c r="C4" s="10">
        <f>ROUNDDOWN(('Process parameter'!D8/('Input - Output'!$E$5*C11^(1/3)+'Process parameter'!D9)),0)</f>
        <v>2</v>
      </c>
      <c r="D4" s="10">
        <f>ROUNDDOWN(('Process parameter'!E8/('Input - Output'!$E$5+'Process parameter'!E9)),0)</f>
        <v>1</v>
      </c>
      <c r="E4" s="10">
        <f>ROUNDDOWN(('Process parameter'!F8/('Input - Output'!$E$5*E11^(1/3)+'Process parameter'!F9)),0)</f>
        <v>2</v>
      </c>
      <c r="F4" s="10" t="s">
        <v>14</v>
      </c>
      <c r="G4" s="10">
        <f>ROUNDDOWN(G3,0)</f>
        <v>440</v>
      </c>
      <c r="H4" s="10">
        <f>ROUNDDOWN(([1]Prozessparameter!E45/([1]EinAusgabe!E5*E11^(1/3)+[1]Prozessparameter!E46)),0)</f>
        <v>4</v>
      </c>
      <c r="I4" s="10">
        <f>ROUNDDOWN(('Process parameter'!F45/('Input - Output'!E5*F11^(1/3)+'Process parameter'!F46)),0)</f>
        <v>4</v>
      </c>
      <c r="J4" s="10">
        <f>ROUNDDOWN(('Process parameter'!D64/('Input - Output'!$E$4*C11^(1/3)+'Process parameter'!D66)),0)</f>
        <v>1</v>
      </c>
      <c r="K4" s="10">
        <f>ROUNDDOWN(('Process parameter'!E64/('Input - Output'!$E$4*F11^(1/3)+'Process parameter'!E66)),0)</f>
        <v>2</v>
      </c>
      <c r="L4" s="10">
        <f>ROUNDDOWN(('Process parameter'!E64/('Input - Output'!$E$4*F11^(1/3)+'Process parameter'!F66)),0)</f>
        <v>2</v>
      </c>
      <c r="M4" s="10">
        <f>ROUNDDOWN(('Process parameter'!D82/('Input - Output'!$E$4+'Process parameter'!D83)),0)</f>
        <v>5</v>
      </c>
      <c r="N4" s="2"/>
    </row>
    <row r="5" spans="1:14" x14ac:dyDescent="0.35">
      <c r="B5" s="24" t="s">
        <v>38</v>
      </c>
      <c r="C5" s="10"/>
      <c r="D5" s="10"/>
      <c r="E5" s="10">
        <f>ROUNDDOWN(('Process parameter'!F6/('Input - Output'!$E$6*E11^(1/3)+'Process parameter'!F10)),0)</f>
        <v>1</v>
      </c>
      <c r="F5" s="10" t="s">
        <v>14</v>
      </c>
      <c r="G5" s="10">
        <f>'Input - Output'!$E$8/G4</f>
        <v>4.3181818181818182E-2</v>
      </c>
      <c r="H5" s="10"/>
      <c r="I5" s="10"/>
      <c r="J5" s="10"/>
      <c r="K5" s="10"/>
      <c r="L5" s="10"/>
      <c r="M5" s="10"/>
      <c r="N5" s="2"/>
    </row>
    <row r="6" spans="1:14" x14ac:dyDescent="0.35">
      <c r="B6" s="24" t="s">
        <v>127</v>
      </c>
      <c r="C6" s="10">
        <f>ROUNDUP('Input - Output'!$E$8/(C3*C4),0)</f>
        <v>4</v>
      </c>
      <c r="D6" s="10">
        <f>ROUNDUP('Input - Output'!$E$8/(D3*D4),0)</f>
        <v>19</v>
      </c>
      <c r="E6" s="10">
        <f>ROUNDUP('Input - Output'!$E$8/(E3*E4*E5),0)</f>
        <v>5</v>
      </c>
      <c r="F6" s="10">
        <v>1</v>
      </c>
      <c r="G6" s="10">
        <f>ROUNDUP(G5,0)</f>
        <v>1</v>
      </c>
      <c r="H6" s="10">
        <f>ROUNDUP([1]EinAusgabe!$E$8/(H3*H4),0)</f>
        <v>5</v>
      </c>
      <c r="I6" s="10">
        <f>ROUNDUP('Input - Output'!$E$8/(I3*I4),0)</f>
        <v>1</v>
      </c>
      <c r="J6" s="10">
        <f>ROUNDUP('Input - Output'!$E$8/(J3*J4),0)</f>
        <v>19</v>
      </c>
      <c r="K6" s="10">
        <f>ROUNDUP('Input - Output'!$E$8/(K3*K4),0)</f>
        <v>3</v>
      </c>
      <c r="L6" s="10">
        <f>ROUNDUP('Input - Output'!$E$8/(L3*L4),0)</f>
        <v>3</v>
      </c>
      <c r="M6" s="10">
        <f>ROUNDUP('Input - Output'!$E$8/(M3*M4),0)</f>
        <v>1</v>
      </c>
      <c r="N6" s="2"/>
    </row>
    <row r="7" spans="1:14" x14ac:dyDescent="0.35">
      <c r="C7" s="2"/>
      <c r="D7" s="2"/>
      <c r="E7" s="2"/>
      <c r="F7" s="2"/>
      <c r="G7" s="2"/>
      <c r="J7" s="2"/>
      <c r="K7" s="2"/>
      <c r="L7" s="2"/>
      <c r="M7" s="2"/>
      <c r="N7" s="2"/>
    </row>
    <row r="8" spans="1:14" x14ac:dyDescent="0.35">
      <c r="C8" s="2"/>
      <c r="D8" s="2"/>
      <c r="E8" s="2"/>
      <c r="F8" s="2"/>
      <c r="G8" s="2"/>
      <c r="J8" s="2"/>
      <c r="K8" s="2"/>
      <c r="L8" s="2"/>
      <c r="M8" s="2"/>
      <c r="N8" s="2"/>
    </row>
    <row r="9" spans="1:14" x14ac:dyDescent="0.35">
      <c r="C9" s="34" t="s">
        <v>0</v>
      </c>
      <c r="D9" s="34" t="s">
        <v>1</v>
      </c>
      <c r="E9" s="34" t="s">
        <v>2</v>
      </c>
      <c r="F9" s="34" t="s">
        <v>33</v>
      </c>
      <c r="J9" s="2"/>
      <c r="K9" s="2"/>
      <c r="L9" s="2"/>
      <c r="M9" s="2"/>
      <c r="N9" s="2"/>
    </row>
    <row r="10" spans="1:14" ht="14.5" customHeight="1" x14ac:dyDescent="0.35">
      <c r="A10" s="157" t="s">
        <v>80</v>
      </c>
      <c r="B10" s="24" t="s">
        <v>73</v>
      </c>
      <c r="C10" s="2">
        <f>VLOOKUP('Input - Output'!$E$7, 'Process parameter'!$J:$P, 2, FALSE)</f>
        <v>7.8</v>
      </c>
      <c r="D10" s="2">
        <f>VLOOKUP('Input - Output'!$E$7, 'Process parameter'!$J:$P, 2, FALSE)</f>
        <v>7.8</v>
      </c>
      <c r="E10" s="2">
        <f>VLOOKUP('Input - Output'!$E$7, 'Process parameter'!$J:$P, 2, FALSE)</f>
        <v>7.8</v>
      </c>
      <c r="F10" s="2">
        <f>VLOOKUP('Input - Output'!$E$7, 'Process parameter'!$J:$P, 2, FALSE)</f>
        <v>7.8</v>
      </c>
      <c r="G10" s="2"/>
      <c r="J10" s="2"/>
      <c r="K10" s="2"/>
      <c r="L10" s="2"/>
      <c r="M10" s="2"/>
      <c r="N10" s="2"/>
    </row>
    <row r="11" spans="1:14" ht="14.5" customHeight="1" x14ac:dyDescent="0.35">
      <c r="A11" s="157"/>
      <c r="B11" s="24" t="s">
        <v>74</v>
      </c>
      <c r="C11" s="2">
        <f>1.15</f>
        <v>1.1499999999999999</v>
      </c>
      <c r="D11" s="2">
        <v>1</v>
      </c>
      <c r="E11" s="2">
        <f>1.15</f>
        <v>1.1499999999999999</v>
      </c>
      <c r="F11" s="2">
        <v>1.1499999999999999</v>
      </c>
      <c r="G11" s="2"/>
      <c r="J11" s="2"/>
      <c r="K11" s="2"/>
      <c r="L11" s="2"/>
      <c r="M11" s="2"/>
      <c r="N11" s="2"/>
    </row>
    <row r="12" spans="1:14" ht="14.5" customHeight="1" x14ac:dyDescent="0.35">
      <c r="A12" s="157"/>
      <c r="B12" s="24" t="s">
        <v>75</v>
      </c>
      <c r="C12" s="2">
        <f>VLOOKUP('Input - Output'!$E$7, 'Process parameter'!$J:$P, 3, FALSE)*(100/(100-'Process parameter'!D11))</f>
        <v>466.66666666666669</v>
      </c>
      <c r="D12" s="2">
        <f>VLOOKUP('Input - Output'!$E$7, 'Process parameter'!$J:$P, 4, FALSE)</f>
        <v>60</v>
      </c>
      <c r="E12" s="2">
        <f>VLOOKUP('Input - Output'!$E$7,'Process parameter'!$J:$P, 5, FALSE)+'Process parameter'!F11/100*'Process parameter'!N10</f>
        <v>80</v>
      </c>
      <c r="F12" s="2">
        <f>VLOOKUP('Input - Output'!$E$7, 'Process parameter'!$J:$P,6, FALSE)+'Process parameter'!G11/100*'Process parameter'!P10</f>
        <v>60</v>
      </c>
      <c r="G12" s="2"/>
      <c r="J12" s="2"/>
      <c r="K12" s="2"/>
      <c r="L12" s="2"/>
      <c r="M12" s="2"/>
      <c r="N12" s="2"/>
    </row>
    <row r="13" spans="1:14" x14ac:dyDescent="0.35">
      <c r="A13" s="157"/>
      <c r="B13" s="24" t="s">
        <v>76</v>
      </c>
      <c r="C13" s="2">
        <f>VLOOKUP('Input - Output'!$E$7, 'Process parameter'!$J:$R, 7, FALSE)</f>
        <v>30</v>
      </c>
      <c r="D13" s="2">
        <f>VLOOKUP('Input - Output'!$E$7, 'Process parameter'!$J:$R, 8, FALSE)</f>
        <v>10</v>
      </c>
      <c r="E13" s="2">
        <f>VLOOKUP('Input - Output'!$E$7,'Process parameter'!$J:$R, 9, FALSE)</f>
        <v>100</v>
      </c>
      <c r="F13" s="2">
        <f>VLOOKUP('Input - Output'!$E$7, 'Process parameter'!$J:$S, 10, FALSE)</f>
        <v>10000</v>
      </c>
      <c r="G13" s="2"/>
      <c r="J13" s="2"/>
      <c r="N13" s="2"/>
    </row>
    <row r="14" spans="1:14" x14ac:dyDescent="0.35">
      <c r="A14" s="157"/>
      <c r="B14" s="24" t="s">
        <v>77</v>
      </c>
      <c r="C14" s="2">
        <f>('Input - Output'!$E$3*C11)/C13*'Input - Output'!$E$8</f>
        <v>18.208333333333332</v>
      </c>
      <c r="D14" s="2">
        <f>'Input - Output'!$E$3/D13*'Input - Output'!$E$8</f>
        <v>47.5</v>
      </c>
      <c r="E14" s="2">
        <f>E11*'Input - Output'!$E$3/E13*'Input - Output'!$E$8</f>
        <v>5.4624999999999995</v>
      </c>
      <c r="F14" s="2">
        <f>F11*'Input - Output'!$E$3/F13*'Input - Output'!$E$8</f>
        <v>5.4624999999999993E-2</v>
      </c>
      <c r="G14" s="2"/>
      <c r="J14" s="2"/>
      <c r="N14" s="2"/>
    </row>
    <row r="15" spans="1:14" x14ac:dyDescent="0.35">
      <c r="A15" s="157"/>
      <c r="B15" s="24" t="s">
        <v>78</v>
      </c>
      <c r="C15" s="2">
        <f>VLOOKUP('Input - Output'!$E$9, 'Process parameter'!$V:$Y, 3, FALSE)</f>
        <v>0.5</v>
      </c>
      <c r="D15" s="2">
        <f>VLOOKUP('Input - Output'!$E$9, 'Process parameter'!$V:$Y, 3, FALSE)</f>
        <v>0.5</v>
      </c>
      <c r="E15" s="2">
        <f>VLOOKUP('Input - Output'!$E$9, 'Process parameter'!$V:$Y, 3, FALSE)</f>
        <v>0.5</v>
      </c>
      <c r="F15" s="2">
        <f>VLOOKUP('Input - Output'!$E$9, 'Process parameter'!$V:$Y, 3, FALSE)</f>
        <v>0.5</v>
      </c>
      <c r="G15" s="2"/>
      <c r="J15" s="2"/>
      <c r="N15" s="2"/>
    </row>
    <row r="16" spans="1:14" x14ac:dyDescent="0.35">
      <c r="A16" s="157"/>
      <c r="B16" s="24" t="s">
        <v>79</v>
      </c>
      <c r="C16" s="2">
        <f>VLOOKUP('Input - Output'!$E$9, 'Process parameter'!$V:$Y, 4, FALSE)</f>
        <v>2</v>
      </c>
      <c r="D16" s="2">
        <f>VLOOKUP('Input - Output'!$E$9, 'Process parameter'!$V:$Y, 4, FALSE)</f>
        <v>2</v>
      </c>
      <c r="E16" s="2">
        <f>VLOOKUP('Input - Output'!$E$9, 'Process parameter'!$V:$Y, 4, FALSE)</f>
        <v>2</v>
      </c>
      <c r="F16" s="2">
        <f>VLOOKUP('Input - Output'!$E$9, 'Process parameter'!$V:$Y, 4, FALSE)</f>
        <v>2</v>
      </c>
      <c r="G16" s="2"/>
    </row>
    <row r="17" spans="1:14" x14ac:dyDescent="0.35">
      <c r="C17" s="2"/>
      <c r="D17" s="2"/>
      <c r="E17" s="2"/>
      <c r="F17" s="2"/>
      <c r="G17" s="2"/>
      <c r="J17" s="2"/>
      <c r="K17" s="2"/>
      <c r="L17" s="2"/>
      <c r="M17" s="2"/>
      <c r="N17" s="2"/>
    </row>
    <row r="18" spans="1:14" x14ac:dyDescent="0.35">
      <c r="B18" s="24" t="s">
        <v>47</v>
      </c>
      <c r="C18" s="2">
        <f>'Input - Output'!$E$3*C12*(C$10/1000)*'Input - Output'!$E$8*(1+'Process parameter'!D13/100)</f>
        <v>1901.9</v>
      </c>
      <c r="D18" s="2">
        <f>'Input - Output'!$E$3*D12*(D$10/1000)*'Input - Output'!$E$8*(1+'Process parameter'!E13/100)</f>
        <v>244.53</v>
      </c>
      <c r="E18" s="2">
        <f>'Input - Output'!$E$3*E12*(E$10/1000)*'Input - Output'!$E$8*(1+'Process parameter'!F13/100)</f>
        <v>296.39999999999998</v>
      </c>
      <c r="F18" s="2">
        <f>'Input - Output'!$E$3*F12*(F$10/1000)*'Input - Output'!$E$8*(1+'Process parameter'!G13/100)</f>
        <v>222.29999999999998</v>
      </c>
      <c r="G18" s="2"/>
      <c r="J18" s="2"/>
      <c r="K18" s="2"/>
      <c r="L18" s="2"/>
      <c r="M18" s="2"/>
      <c r="N18" s="2"/>
    </row>
    <row r="19" spans="1:14" x14ac:dyDescent="0.35">
      <c r="C19" s="2"/>
      <c r="D19" s="2"/>
      <c r="E19" s="2"/>
      <c r="F19" s="2"/>
      <c r="G19" s="2"/>
      <c r="J19" s="2"/>
      <c r="K19" s="2"/>
      <c r="L19" s="2"/>
      <c r="M19" s="2"/>
      <c r="N19" s="2"/>
    </row>
    <row r="20" spans="1:14" x14ac:dyDescent="0.35">
      <c r="A20" s="157" t="s">
        <v>71</v>
      </c>
      <c r="B20" s="24" t="s">
        <v>42</v>
      </c>
      <c r="C20" s="2">
        <f>'Process parameter'!D20*(C14+C6*'Process parameter'!D10)</f>
        <v>6.5176777135654484</v>
      </c>
      <c r="D20" s="2">
        <f>'Process parameter'!E20*(D14+D6*'Process parameter'!E10)</f>
        <v>198.86558219178082</v>
      </c>
      <c r="E20" s="2">
        <f>'Process parameter'!F20*(E14+E6*'Process parameter'!F10)</f>
        <v>170.43022260273972</v>
      </c>
      <c r="F20" s="2">
        <f>'Process parameter'!G20*(F14+F6*'Process parameter'!G10)+'Process parameter'!G19+'Input - Output'!E8</f>
        <v>50025.019549086755</v>
      </c>
      <c r="G20" s="2"/>
      <c r="J20" s="2"/>
      <c r="K20" s="2"/>
      <c r="L20" s="2"/>
      <c r="M20" s="2"/>
      <c r="N20" s="2"/>
    </row>
    <row r="21" spans="1:14" x14ac:dyDescent="0.35">
      <c r="A21" s="157"/>
      <c r="B21" s="24" t="s">
        <v>43</v>
      </c>
      <c r="C21" s="2" t="s">
        <v>14</v>
      </c>
      <c r="D21" s="2" t="s">
        <v>14</v>
      </c>
      <c r="E21" s="2">
        <f>E6*'Process parameter'!D36*('Process parameter'!D26+'Process parameter'!D30)</f>
        <v>17.789193302891935</v>
      </c>
      <c r="F21" s="2" t="s">
        <v>14</v>
      </c>
      <c r="G21" s="2"/>
      <c r="J21" s="2"/>
      <c r="K21" s="2"/>
      <c r="L21" s="2"/>
      <c r="M21" s="2"/>
      <c r="N21" s="2"/>
    </row>
    <row r="22" spans="1:14" x14ac:dyDescent="0.35">
      <c r="A22" s="157"/>
      <c r="B22" s="24" t="s">
        <v>44</v>
      </c>
      <c r="C22" s="2">
        <f>'Process parameter'!D56*(C11*'Input - Output'!$E$3*'Input - Output'!$E$8/'Process parameter'!D53+G6*'Process parameter'!D49)</f>
        <v>0.36539872798434442</v>
      </c>
      <c r="D22" s="2" t="s">
        <v>14</v>
      </c>
      <c r="E22" s="2">
        <f>H6*'Process parameter'!E56*('Process parameter'!E42+'Process parameter'!E49)</f>
        <v>41.856925418569254</v>
      </c>
      <c r="F22" s="2">
        <f>I6*'Process parameter'!F56*('Process parameter'!F42+'Process parameter'!F49)</f>
        <v>8.3713850837138502</v>
      </c>
      <c r="G22" s="2"/>
      <c r="J22" s="2"/>
      <c r="K22" s="2"/>
      <c r="L22" s="2"/>
      <c r="M22" s="2"/>
      <c r="N22" s="2"/>
    </row>
    <row r="23" spans="1:14" x14ac:dyDescent="0.35">
      <c r="A23" s="157"/>
      <c r="B23" s="24" t="s">
        <v>45</v>
      </c>
      <c r="C23" s="2">
        <f>J6*'Process parameter'!D73*('Process parameter'!D62+'Process parameter'!D67)</f>
        <v>235.19657534246574</v>
      </c>
      <c r="D23" s="2" t="s">
        <v>14</v>
      </c>
      <c r="E23" s="2">
        <f>'specific Parameter'!K6*'Process parameter'!E73*('Process parameter'!E62+'Process parameter'!E67)</f>
        <v>445.89041095890411</v>
      </c>
      <c r="F23" s="2">
        <f>'specific Parameter'!L6*'Process parameter'!F73*('Process parameter'!F62+'Process parameter'!F67)</f>
        <v>445.89041095890411</v>
      </c>
      <c r="G23" s="2"/>
      <c r="J23" s="2"/>
      <c r="K23" s="2"/>
      <c r="L23" s="2"/>
      <c r="M23" s="2"/>
      <c r="N23" s="2"/>
    </row>
    <row r="24" spans="1:14" x14ac:dyDescent="0.35">
      <c r="A24" s="157"/>
      <c r="B24" s="24" t="s">
        <v>46</v>
      </c>
      <c r="C24" s="2" t="s">
        <v>14</v>
      </c>
      <c r="D24" s="2">
        <f>M6*'Process parameter'!D90*('Process parameter'!D79+'Process parameter'!D84)</f>
        <v>55.376712328767127</v>
      </c>
      <c r="E24" s="2" t="s">
        <v>14</v>
      </c>
      <c r="F24" s="2" t="s">
        <v>14</v>
      </c>
      <c r="G24" s="2"/>
      <c r="J24" s="2"/>
      <c r="K24" s="2"/>
      <c r="L24" s="2"/>
      <c r="M24" s="2"/>
      <c r="N24" s="2"/>
    </row>
    <row r="25" spans="1:14" x14ac:dyDescent="0.35">
      <c r="C25" s="2"/>
      <c r="D25" s="2"/>
      <c r="E25" s="2"/>
      <c r="F25" s="2"/>
      <c r="G25" s="2"/>
      <c r="J25" s="2"/>
      <c r="K25" s="2"/>
      <c r="L25" s="2"/>
      <c r="M25" s="2"/>
      <c r="N25" s="2"/>
    </row>
    <row r="26" spans="1:14" x14ac:dyDescent="0.35">
      <c r="A26" s="158" t="s">
        <v>72</v>
      </c>
      <c r="B26" s="24" t="s">
        <v>78</v>
      </c>
      <c r="C26" s="2">
        <f>C15*'Process parameter'!$X$9*'Input - Output'!$E$8</f>
        <v>285</v>
      </c>
      <c r="D26" s="2">
        <f>D15*'Process parameter'!$X$9*'Input - Output'!$E$8</f>
        <v>285</v>
      </c>
      <c r="E26" s="2">
        <f>E15*'Process parameter'!$X$9*'Input - Output'!$E$8</f>
        <v>285</v>
      </c>
      <c r="F26" s="2">
        <f>F15*'Process parameter'!$X$9*'Input - Output'!$E$8</f>
        <v>285</v>
      </c>
      <c r="G26" s="2"/>
      <c r="J26" s="2"/>
      <c r="K26" s="2"/>
      <c r="L26" s="2"/>
      <c r="M26" s="2"/>
      <c r="N26" s="2"/>
    </row>
    <row r="27" spans="1:14" x14ac:dyDescent="0.35">
      <c r="A27" s="158"/>
      <c r="B27" s="24" t="s">
        <v>79</v>
      </c>
      <c r="C27" s="2">
        <f>C16*'Process parameter'!$Y$9*'Input - Output'!$E$8</f>
        <v>1520</v>
      </c>
      <c r="D27" s="2">
        <f>D16*'Process parameter'!$Y$9*'Input - Output'!$E$8</f>
        <v>1520</v>
      </c>
      <c r="E27" s="2">
        <f>E16*'Process parameter'!$Y$9*'Input - Output'!$E$8</f>
        <v>1520</v>
      </c>
      <c r="F27" s="2">
        <f>F16*'Process parameter'!$Y$9*'Input - Output'!$E$8</f>
        <v>1520</v>
      </c>
      <c r="G27" s="2"/>
    </row>
    <row r="28" spans="1:14" x14ac:dyDescent="0.35">
      <c r="A28" s="158"/>
      <c r="B28" s="24" t="s">
        <v>81</v>
      </c>
      <c r="C28" s="2">
        <f>(C26+C27)/2</f>
        <v>902.5</v>
      </c>
      <c r="D28" s="2">
        <f>(D26+D27)/2</f>
        <v>902.5</v>
      </c>
      <c r="E28" s="2">
        <f>(E26+E27)/2</f>
        <v>902.5</v>
      </c>
      <c r="F28" s="2">
        <f>(F26+F27)/2</f>
        <v>902.5</v>
      </c>
      <c r="G28" s="2"/>
      <c r="J28" s="2"/>
      <c r="K28" s="2"/>
      <c r="L28" s="2"/>
      <c r="M28" s="2"/>
      <c r="N28" s="2"/>
    </row>
    <row r="29" spans="1:14" x14ac:dyDescent="0.35">
      <c r="A29" s="158"/>
      <c r="B29" s="24" t="s">
        <v>85</v>
      </c>
      <c r="C29" s="2">
        <f>(C27-C26)/2</f>
        <v>617.5</v>
      </c>
      <c r="D29" s="2">
        <f>(D27-D26)/2</f>
        <v>617.5</v>
      </c>
      <c r="E29" s="2">
        <f>(E27-E26)/2</f>
        <v>617.5</v>
      </c>
      <c r="F29" s="2">
        <f>(F27-F26)/2</f>
        <v>617.5</v>
      </c>
      <c r="G29" s="2"/>
      <c r="J29" s="2"/>
      <c r="K29" s="2"/>
      <c r="L29" s="2"/>
      <c r="M29" s="2"/>
      <c r="N29" s="2"/>
    </row>
    <row r="30" spans="1:14" x14ac:dyDescent="0.35"/>
    <row r="31" spans="1:14" x14ac:dyDescent="0.35">
      <c r="A31" s="156" t="s">
        <v>48</v>
      </c>
      <c r="B31" s="24" t="s">
        <v>82</v>
      </c>
      <c r="C31" s="2">
        <f>'Process parameter'!D17*$C$6+'Process parameter'!D54*$G$6+'Process parameter'!D71*$J$6</f>
        <v>865</v>
      </c>
      <c r="D31" s="2">
        <f>'Process parameter'!E17*$D$6+'Process parameter'!D88*$M$6</f>
        <v>410</v>
      </c>
      <c r="E31" s="2">
        <f>'Process parameter'!F17*$E$6+'Process parameter'!D34*E6+'Process parameter'!D34*$H$6+'Process parameter'!E71*$K$6</f>
        <v>495</v>
      </c>
      <c r="F31" s="2">
        <f>'Process parameter'!G17*$F$6+'Process parameter'!E34*F6+'Process parameter'!E34*$I$6+'Process parameter'!F71*$L$6</f>
        <v>155</v>
      </c>
      <c r="G31" s="2"/>
    </row>
    <row r="32" spans="1:14" x14ac:dyDescent="0.35">
      <c r="A32" s="156"/>
      <c r="B32" s="24" t="s">
        <v>83</v>
      </c>
      <c r="C32" s="2">
        <f>'Process parameter'!D18*$C$6+'Process parameter'!D55*$G$6+'Process parameter'!D72*$J$6</f>
        <v>1080</v>
      </c>
      <c r="D32" s="2">
        <f>'Process parameter'!E18*$D$6+'Process parameter'!D89*$M$6</f>
        <v>510</v>
      </c>
      <c r="E32" s="2">
        <f>'Process parameter'!F18*$E$6+'Process parameter'!D35*E6+'Process parameter'!D35*$H$6+'Process parameter'!E72*$K$6</f>
        <v>625</v>
      </c>
      <c r="F32" s="2">
        <f>'Process parameter'!G18*$F$6+'Process parameter'!E35*F6+'Process parameter'!E35*$I$6+'Process parameter'!F72*$L$6</f>
        <v>195</v>
      </c>
      <c r="G32" s="2"/>
    </row>
    <row r="33" spans="1:14" x14ac:dyDescent="0.35">
      <c r="A33" s="156"/>
      <c r="B33" s="24" t="s">
        <v>84</v>
      </c>
      <c r="C33" s="2">
        <f>(C31+C32)/2</f>
        <v>972.5</v>
      </c>
      <c r="D33" s="2">
        <f>(D31+D32)/2</f>
        <v>460</v>
      </c>
      <c r="E33" s="2">
        <f>(E31+E32)/2</f>
        <v>560</v>
      </c>
      <c r="F33" s="2">
        <f>(F31+F32)/2</f>
        <v>175</v>
      </c>
      <c r="G33" s="2"/>
    </row>
    <row r="34" spans="1:14" x14ac:dyDescent="0.35">
      <c r="A34" s="156"/>
      <c r="B34" s="24" t="s">
        <v>85</v>
      </c>
      <c r="C34" s="2">
        <f>(C32-C31)/2</f>
        <v>107.5</v>
      </c>
      <c r="D34" s="2">
        <f>(D32-D31)/2</f>
        <v>50</v>
      </c>
      <c r="E34" s="2">
        <f>(E32-E31)/2</f>
        <v>65</v>
      </c>
      <c r="F34" s="2">
        <f>(F32-F31)/2</f>
        <v>20</v>
      </c>
      <c r="G34" s="2"/>
    </row>
    <row r="35" spans="1:14" x14ac:dyDescent="0.35">
      <c r="A35" s="3"/>
      <c r="C35" s="2"/>
      <c r="D35" s="2"/>
      <c r="E35" s="2"/>
      <c r="F35" s="2"/>
      <c r="G35" s="2"/>
      <c r="J35" s="2"/>
      <c r="K35" s="2"/>
      <c r="L35" s="2"/>
      <c r="M35" s="2"/>
      <c r="N35" s="2"/>
    </row>
    <row r="36" spans="1:14" x14ac:dyDescent="0.35">
      <c r="C36" s="2"/>
      <c r="D36" s="2"/>
      <c r="E36" s="2"/>
      <c r="F36" s="2"/>
      <c r="G36" s="2"/>
      <c r="J36" s="2"/>
      <c r="K36" s="2"/>
      <c r="L36" s="2"/>
      <c r="M36" s="2"/>
      <c r="N36" s="2"/>
    </row>
    <row r="37" spans="1:14" x14ac:dyDescent="0.35">
      <c r="B37" s="24" t="s">
        <v>86</v>
      </c>
      <c r="C37" s="2">
        <f>SUM(C18:C25)+C28+C33</f>
        <v>4018.9796517840155</v>
      </c>
      <c r="D37" s="2">
        <f>SUM(D18:D25)+D28+D33</f>
        <v>1861.2722945205478</v>
      </c>
      <c r="E37" s="2">
        <f>SUM(E18:E25)+E28+E33</f>
        <v>2434.8667522831051</v>
      </c>
      <c r="F37" s="2">
        <f>SUM(F18:F25)+F28+F33</f>
        <v>51779.08134512938</v>
      </c>
      <c r="G37" s="2"/>
      <c r="J37" s="2"/>
      <c r="K37" s="2"/>
      <c r="L37" s="2"/>
      <c r="M37" s="2"/>
      <c r="N37" s="2"/>
    </row>
    <row r="38" spans="1:14" x14ac:dyDescent="0.35">
      <c r="B38" s="24" t="s">
        <v>87</v>
      </c>
      <c r="C38" s="2">
        <f>C29+C34</f>
        <v>725</v>
      </c>
      <c r="D38" s="2">
        <f>D29+D34</f>
        <v>667.5</v>
      </c>
      <c r="E38" s="2">
        <f>E29+E34</f>
        <v>682.5</v>
      </c>
      <c r="F38" s="2">
        <f>F29+F34</f>
        <v>637.5</v>
      </c>
      <c r="G38" s="2"/>
      <c r="J38" s="2"/>
      <c r="K38" s="2"/>
      <c r="L38" s="2"/>
      <c r="M38" s="2"/>
      <c r="N38" s="2"/>
    </row>
    <row r="39" spans="1:14" x14ac:dyDescent="0.35">
      <c r="B39" s="24" t="s">
        <v>88</v>
      </c>
      <c r="C39" s="2">
        <f>C37/'Input - Output'!$E$8</f>
        <v>211.52524483073765</v>
      </c>
      <c r="D39" s="2">
        <f>D37/'Input - Output'!$E$8</f>
        <v>97.961699711607778</v>
      </c>
      <c r="E39" s="2">
        <f>E37/'Input - Output'!$E$8</f>
        <v>128.15088169911078</v>
      </c>
      <c r="F39" s="2">
        <f>F37/'Input - Output'!$E$8</f>
        <v>2725.2148076383883</v>
      </c>
      <c r="G39" s="2"/>
      <c r="J39" s="2"/>
      <c r="K39" s="2"/>
      <c r="L39" s="2"/>
      <c r="M39" s="2"/>
      <c r="N39" s="2"/>
    </row>
    <row r="40" spans="1:14" x14ac:dyDescent="0.35">
      <c r="B40" s="24" t="s">
        <v>89</v>
      </c>
      <c r="C40" s="2">
        <f>C38/'Input - Output'!$E$8</f>
        <v>38.157894736842103</v>
      </c>
      <c r="D40" s="2">
        <f>D38/'Input - Output'!$E$8</f>
        <v>35.131578947368418</v>
      </c>
      <c r="E40" s="2">
        <f>E38/'Input - Output'!$E$8</f>
        <v>35.921052631578945</v>
      </c>
      <c r="F40" s="2">
        <f>F38/'Input - Output'!$E$8</f>
        <v>33.55263157894737</v>
      </c>
      <c r="G40" s="2"/>
      <c r="J40" s="2"/>
      <c r="K40" s="2"/>
      <c r="L40" s="2"/>
      <c r="M40" s="2"/>
      <c r="N40" s="2"/>
    </row>
    <row r="41" spans="1:14" x14ac:dyDescent="0.35">
      <c r="B41" s="2"/>
      <c r="C41" s="2"/>
      <c r="D41" s="2"/>
      <c r="E41" s="2"/>
      <c r="F41" s="2"/>
      <c r="G41" s="2"/>
      <c r="J41" s="2"/>
      <c r="K41" s="2"/>
      <c r="L41" s="2"/>
      <c r="M41" s="2"/>
      <c r="N41" s="2"/>
    </row>
    <row r="42" spans="1:14" x14ac:dyDescent="0.35">
      <c r="B42" s="24" t="s">
        <v>90</v>
      </c>
      <c r="C42" s="2">
        <f>C37-'Input - Output'!$E$10</f>
        <v>490.97965178401546</v>
      </c>
      <c r="D42" s="2">
        <f>D37-'Input - Output'!$E$10</f>
        <v>-1666.7277054794522</v>
      </c>
      <c r="E42" s="2">
        <f>E37-'Input - Output'!$E$10</f>
        <v>-1093.1332477168949</v>
      </c>
      <c r="F42" s="2">
        <f>F37-'Input - Output'!$E$10</f>
        <v>48251.08134512938</v>
      </c>
      <c r="G42" s="2"/>
      <c r="J42" s="2"/>
      <c r="K42" s="2"/>
      <c r="L42" s="2"/>
      <c r="M42" s="2"/>
      <c r="N42" s="2"/>
    </row>
    <row r="43" spans="1:14" x14ac:dyDescent="0.35">
      <c r="B43" s="35" t="s">
        <v>91</v>
      </c>
      <c r="C43" s="2">
        <f>C42/(C12+'Process parameter'!D20*((C11/('specific Parameter'!C10/1000))/'specific Parameter'!C13)+'Process parameter'!D56*('specific Parameter'!C11/('specific Parameter'!C10/1000))/'Process parameter'!D53)</f>
        <v>1.0484032631286144</v>
      </c>
      <c r="D43" s="2">
        <f>D42/(D12+'Process parameter'!E20*((1/('specific Parameter'!D10/1000))/'specific Parameter'!D13))</f>
        <v>-15.914656887364748</v>
      </c>
      <c r="E43" s="2">
        <f>E42/(E12+'Process parameter'!F20*((E11/('specific Parameter'!E10/1000))/'specific Parameter'!E13))</f>
        <v>-9.7988463809070261</v>
      </c>
      <c r="F43" s="2">
        <f>F42/(F12+'Process parameter'!G20*((F11/('specific Parameter'!F10/1000))/'specific Parameter'!F13))</f>
        <v>803.05836079290123</v>
      </c>
      <c r="G43" s="2"/>
      <c r="J43" s="2"/>
      <c r="K43" s="2"/>
      <c r="L43" s="2"/>
      <c r="M43" s="2"/>
      <c r="N43" s="2"/>
    </row>
    <row r="44" spans="1:14" x14ac:dyDescent="0.35">
      <c r="B44" s="35" t="s">
        <v>92</v>
      </c>
      <c r="C44" s="2">
        <f>C43/('Input - Output'!$E$3*'specific Parameter'!C10*'Input - Output'!$E$8/1000)*100</f>
        <v>28.296984160016581</v>
      </c>
      <c r="D44" s="2">
        <f>D43/('Input - Output'!$E$3*'specific Parameter'!D10*'Input - Output'!$E$8/1000)*100</f>
        <v>-429.54539507057348</v>
      </c>
      <c r="E44" s="2">
        <f>E43/('Input - Output'!$E$3*'specific Parameter'!E10*'Input - Output'!$E$8/1000)*100</f>
        <v>-264.47628558453511</v>
      </c>
      <c r="F44" s="2">
        <f>F43/('Input - Output'!$E$3*'specific Parameter'!F10*'Input - Output'!$E$8/1000)*100</f>
        <v>21674.98949508505</v>
      </c>
      <c r="G44" s="2"/>
      <c r="J44" s="2"/>
      <c r="K44" s="2"/>
      <c r="L44" s="2"/>
      <c r="M44" s="2"/>
      <c r="N44" s="2"/>
    </row>
    <row r="45" spans="1:14" x14ac:dyDescent="0.35"/>
  </sheetData>
  <sheetProtection sheet="1" selectLockedCells="1"/>
  <mergeCells count="7">
    <mergeCell ref="J1:L1"/>
    <mergeCell ref="G1:I1"/>
    <mergeCell ref="A31:A34"/>
    <mergeCell ref="A20:A24"/>
    <mergeCell ref="A26:A29"/>
    <mergeCell ref="A10:A16"/>
    <mergeCell ref="C1:F1"/>
  </mergeCells>
  <pageMargins left="0.7" right="0.7" top="0.78740157499999996" bottom="0.78740157499999996" header="0.3" footer="0.3"/>
  <pageSetup paperSize="9" orientation="portrait" horizontalDpi="360" verticalDpi="360" r:id="rId1"/>
  <ignoredErrors>
    <ignoredError sqref="E6" formula="1"/>
    <ignoredError sqref="F37 F38:F43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Input - Output</vt:lpstr>
      <vt:lpstr>Process parameter</vt:lpstr>
      <vt:lpstr>Machines</vt:lpstr>
      <vt:lpstr>specific Parameter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Torben Deutschmann</dc:creator>
  <cp:lastModifiedBy>Karim Asami</cp:lastModifiedBy>
  <dcterms:created xsi:type="dcterms:W3CDTF">2015-06-05T18:19:34Z</dcterms:created>
  <dcterms:modified xsi:type="dcterms:W3CDTF">2024-08-27T08:24:42Z</dcterms:modified>
</cp:coreProperties>
</file>